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90" windowWidth="1548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Sheet1!$A$1:$T$204</definedName>
  </definedNames>
  <calcPr calcId="124519"/>
</workbook>
</file>

<file path=xl/calcChain.xml><?xml version="1.0" encoding="utf-8"?>
<calcChain xmlns="http://schemas.openxmlformats.org/spreadsheetml/2006/main">
  <c r="P74" i="1"/>
  <c r="O74" s="1"/>
  <c r="N74"/>
  <c r="N72" l="1"/>
  <c r="P72"/>
  <c r="O72" s="1"/>
  <c r="T156" l="1"/>
  <c r="T138"/>
  <c r="A135"/>
  <c r="T113"/>
  <c r="T95"/>
  <c r="Q95"/>
  <c r="K95"/>
  <c r="L95"/>
  <c r="M95"/>
  <c r="J95"/>
  <c r="L96"/>
  <c r="M96"/>
  <c r="K96"/>
  <c r="S95"/>
  <c r="R95"/>
  <c r="M188" l="1"/>
  <c r="L188"/>
  <c r="K188"/>
  <c r="S187"/>
  <c r="R187"/>
  <c r="Q187"/>
  <c r="M187"/>
  <c r="L187"/>
  <c r="K187"/>
  <c r="J187"/>
  <c r="P183"/>
  <c r="N183"/>
  <c r="P177"/>
  <c r="N177"/>
  <c r="P181"/>
  <c r="N181"/>
  <c r="P184"/>
  <c r="N184"/>
  <c r="P180"/>
  <c r="N180"/>
  <c r="P178"/>
  <c r="N178"/>
  <c r="N187" l="1"/>
  <c r="O181"/>
  <c r="P187"/>
  <c r="N188"/>
  <c r="P188"/>
  <c r="K189"/>
  <c r="O183"/>
  <c r="O177"/>
  <c r="O184"/>
  <c r="O178"/>
  <c r="O180"/>
  <c r="O188" l="1"/>
  <c r="N189" s="1"/>
  <c r="O187"/>
  <c r="P94" l="1"/>
  <c r="N94"/>
  <c r="P93"/>
  <c r="N93"/>
  <c r="P92"/>
  <c r="N92"/>
  <c r="P91"/>
  <c r="N91"/>
  <c r="P90"/>
  <c r="P87"/>
  <c r="N87"/>
  <c r="P86"/>
  <c r="N86"/>
  <c r="P85"/>
  <c r="N85"/>
  <c r="P75"/>
  <c r="P73"/>
  <c r="P71"/>
  <c r="O91" l="1"/>
  <c r="O92"/>
  <c r="O93"/>
  <c r="O94"/>
  <c r="O85"/>
  <c r="O86"/>
  <c r="O87"/>
  <c r="S154"/>
  <c r="R154"/>
  <c r="Q154"/>
  <c r="P154"/>
  <c r="O154"/>
  <c r="N154"/>
  <c r="M154"/>
  <c r="L154"/>
  <c r="K154"/>
  <c r="J154"/>
  <c r="A154"/>
  <c r="S151"/>
  <c r="R151"/>
  <c r="Q151"/>
  <c r="M151"/>
  <c r="L151"/>
  <c r="K151"/>
  <c r="J151"/>
  <c r="A151"/>
  <c r="S150"/>
  <c r="R150"/>
  <c r="Q150"/>
  <c r="M150"/>
  <c r="L150"/>
  <c r="K150"/>
  <c r="J150"/>
  <c r="A150"/>
  <c r="S149"/>
  <c r="R149"/>
  <c r="Q149"/>
  <c r="M149"/>
  <c r="L149"/>
  <c r="K149"/>
  <c r="J149"/>
  <c r="A149"/>
  <c r="R136"/>
  <c r="Q136"/>
  <c r="P136"/>
  <c r="M136"/>
  <c r="L136"/>
  <c r="K136"/>
  <c r="J136"/>
  <c r="A136"/>
  <c r="S135"/>
  <c r="Q135"/>
  <c r="P135"/>
  <c r="M135"/>
  <c r="L135"/>
  <c r="K135"/>
  <c r="J135"/>
  <c r="S134"/>
  <c r="R134"/>
  <c r="Q134"/>
  <c r="M134"/>
  <c r="L134"/>
  <c r="K134"/>
  <c r="J134"/>
  <c r="A134"/>
  <c r="S133"/>
  <c r="R133"/>
  <c r="Q133"/>
  <c r="P133"/>
  <c r="M133"/>
  <c r="L133"/>
  <c r="K133"/>
  <c r="J133"/>
  <c r="A133"/>
  <c r="S130"/>
  <c r="R130"/>
  <c r="Q130"/>
  <c r="M130"/>
  <c r="L130"/>
  <c r="K130"/>
  <c r="J130"/>
  <c r="A130"/>
  <c r="S129"/>
  <c r="R129"/>
  <c r="Q129"/>
  <c r="M129"/>
  <c r="L129"/>
  <c r="K129"/>
  <c r="J129"/>
  <c r="A129"/>
  <c r="S128"/>
  <c r="R128"/>
  <c r="Q128"/>
  <c r="M128"/>
  <c r="L128"/>
  <c r="K128"/>
  <c r="J128"/>
  <c r="A128"/>
  <c r="S127"/>
  <c r="R127"/>
  <c r="Q127"/>
  <c r="M127"/>
  <c r="L127"/>
  <c r="K127"/>
  <c r="J127"/>
  <c r="A127"/>
  <c r="S126"/>
  <c r="R126"/>
  <c r="Q126"/>
  <c r="M126"/>
  <c r="L126"/>
  <c r="K126"/>
  <c r="J126"/>
  <c r="A126"/>
  <c r="S125"/>
  <c r="R125"/>
  <c r="Q125"/>
  <c r="M125"/>
  <c r="L125"/>
  <c r="K125"/>
  <c r="J125"/>
  <c r="A125"/>
  <c r="S124"/>
  <c r="R124"/>
  <c r="Q124"/>
  <c r="M124"/>
  <c r="L124"/>
  <c r="K124"/>
  <c r="J124"/>
  <c r="A124"/>
  <c r="S123"/>
  <c r="R123"/>
  <c r="Q123"/>
  <c r="M123"/>
  <c r="L123"/>
  <c r="K123"/>
  <c r="J123"/>
  <c r="A123"/>
  <c r="S122"/>
  <c r="R122"/>
  <c r="Q122"/>
  <c r="M122"/>
  <c r="L122"/>
  <c r="K122"/>
  <c r="J122"/>
  <c r="A122"/>
  <c r="S121"/>
  <c r="R121"/>
  <c r="Q121"/>
  <c r="M121"/>
  <c r="L121"/>
  <c r="K121"/>
  <c r="J121"/>
  <c r="A121"/>
  <c r="S111"/>
  <c r="R111"/>
  <c r="Q111"/>
  <c r="M111"/>
  <c r="L111"/>
  <c r="K111"/>
  <c r="J111"/>
  <c r="A111"/>
  <c r="Q105" l="1"/>
  <c r="R104"/>
  <c r="S104"/>
  <c r="S108" l="1"/>
  <c r="R108"/>
  <c r="Q108"/>
  <c r="M108"/>
  <c r="L108"/>
  <c r="K108"/>
  <c r="J108"/>
  <c r="A108"/>
  <c r="S107"/>
  <c r="R107"/>
  <c r="Q107"/>
  <c r="M107"/>
  <c r="L107"/>
  <c r="K107"/>
  <c r="J107"/>
  <c r="A107"/>
  <c r="A106" l="1"/>
  <c r="A105"/>
  <c r="S106"/>
  <c r="R106"/>
  <c r="Q106"/>
  <c r="M106"/>
  <c r="L106"/>
  <c r="K106"/>
  <c r="J106"/>
  <c r="S105"/>
  <c r="R105"/>
  <c r="M105"/>
  <c r="L105"/>
  <c r="K105"/>
  <c r="J105"/>
  <c r="Q104"/>
  <c r="M104"/>
  <c r="L104"/>
  <c r="K104"/>
  <c r="J104"/>
  <c r="A104"/>
  <c r="N40" l="1"/>
  <c r="P40"/>
  <c r="S155"/>
  <c r="R155"/>
  <c r="Q155"/>
  <c r="M155"/>
  <c r="L155"/>
  <c r="K155"/>
  <c r="J155"/>
  <c r="S152"/>
  <c r="R152"/>
  <c r="Q152"/>
  <c r="M152"/>
  <c r="L152"/>
  <c r="K152"/>
  <c r="J152"/>
  <c r="S137"/>
  <c r="R137"/>
  <c r="Q137"/>
  <c r="M137"/>
  <c r="L137"/>
  <c r="K137"/>
  <c r="J137"/>
  <c r="S131"/>
  <c r="R131"/>
  <c r="Q131"/>
  <c r="M131"/>
  <c r="L131"/>
  <c r="K131"/>
  <c r="J131"/>
  <c r="S112"/>
  <c r="R112"/>
  <c r="Q112"/>
  <c r="M112"/>
  <c r="L112"/>
  <c r="K112"/>
  <c r="J112"/>
  <c r="N83"/>
  <c r="N84"/>
  <c r="N90"/>
  <c r="O90" s="1"/>
  <c r="P88"/>
  <c r="N88"/>
  <c r="P52"/>
  <c r="P150" s="1"/>
  <c r="N52"/>
  <c r="N150" s="1"/>
  <c r="P126"/>
  <c r="N126"/>
  <c r="P84"/>
  <c r="P83"/>
  <c r="S76"/>
  <c r="R76"/>
  <c r="Q76"/>
  <c r="M76"/>
  <c r="L76"/>
  <c r="K76"/>
  <c r="J76"/>
  <c r="N136"/>
  <c r="N75"/>
  <c r="N135" s="1"/>
  <c r="N73"/>
  <c r="N71"/>
  <c r="N133" s="1"/>
  <c r="S66"/>
  <c r="R66"/>
  <c r="Q66"/>
  <c r="M66"/>
  <c r="L66"/>
  <c r="K66"/>
  <c r="J66"/>
  <c r="P65"/>
  <c r="P130" s="1"/>
  <c r="N65"/>
  <c r="N130" s="1"/>
  <c r="P64"/>
  <c r="P129" s="1"/>
  <c r="N64"/>
  <c r="N129" s="1"/>
  <c r="P63"/>
  <c r="P151" s="1"/>
  <c r="N63"/>
  <c r="N151" s="1"/>
  <c r="P62"/>
  <c r="P128" s="1"/>
  <c r="N62"/>
  <c r="N128" s="1"/>
  <c r="P61"/>
  <c r="P108" s="1"/>
  <c r="N61"/>
  <c r="N108" s="1"/>
  <c r="P60"/>
  <c r="N60"/>
  <c r="S53"/>
  <c r="R53"/>
  <c r="Q53"/>
  <c r="M53"/>
  <c r="L53"/>
  <c r="K53"/>
  <c r="J53"/>
  <c r="P51"/>
  <c r="P125" s="1"/>
  <c r="N51"/>
  <c r="N125" s="1"/>
  <c r="P50"/>
  <c r="P107" s="1"/>
  <c r="N50"/>
  <c r="N107" s="1"/>
  <c r="P49"/>
  <c r="P124" s="1"/>
  <c r="N49"/>
  <c r="N124" s="1"/>
  <c r="P48"/>
  <c r="N48"/>
  <c r="N42"/>
  <c r="N41"/>
  <c r="N106" s="1"/>
  <c r="N39"/>
  <c r="N38"/>
  <c r="N122" s="1"/>
  <c r="N37"/>
  <c r="P42"/>
  <c r="K43"/>
  <c r="P41"/>
  <c r="P106" s="1"/>
  <c r="P39"/>
  <c r="P38"/>
  <c r="P122" s="1"/>
  <c r="S43"/>
  <c r="R43"/>
  <c r="Q43"/>
  <c r="P37"/>
  <c r="M43"/>
  <c r="L43"/>
  <c r="J43"/>
  <c r="P149" l="1"/>
  <c r="P152" s="1"/>
  <c r="P121"/>
  <c r="P123"/>
  <c r="N121"/>
  <c r="N123"/>
  <c r="N96"/>
  <c r="N95"/>
  <c r="J166" s="1"/>
  <c r="P95"/>
  <c r="P96"/>
  <c r="O83"/>
  <c r="O65"/>
  <c r="O130" s="1"/>
  <c r="R165"/>
  <c r="R167" s="1"/>
  <c r="N66"/>
  <c r="N149"/>
  <c r="S165"/>
  <c r="S167" s="1"/>
  <c r="O84"/>
  <c r="J156"/>
  <c r="O52"/>
  <c r="O150" s="1"/>
  <c r="P66"/>
  <c r="O49"/>
  <c r="O124" s="1"/>
  <c r="O50"/>
  <c r="O107" s="1"/>
  <c r="O51"/>
  <c r="O125" s="1"/>
  <c r="O62"/>
  <c r="O128" s="1"/>
  <c r="O63"/>
  <c r="O151" s="1"/>
  <c r="M156"/>
  <c r="K156"/>
  <c r="R156"/>
  <c r="L138"/>
  <c r="K157"/>
  <c r="M139"/>
  <c r="R138"/>
  <c r="M157"/>
  <c r="N134"/>
  <c r="N137" s="1"/>
  <c r="N127"/>
  <c r="N155"/>
  <c r="N111"/>
  <c r="N112" s="1"/>
  <c r="N104"/>
  <c r="P53"/>
  <c r="P105"/>
  <c r="O73"/>
  <c r="O136"/>
  <c r="O88"/>
  <c r="P134"/>
  <c r="P137" s="1"/>
  <c r="P127"/>
  <c r="P155"/>
  <c r="P111"/>
  <c r="P112" s="1"/>
  <c r="P104"/>
  <c r="N105"/>
  <c r="O40"/>
  <c r="N43"/>
  <c r="O37"/>
  <c r="O42"/>
  <c r="J138"/>
  <c r="L139"/>
  <c r="Q138"/>
  <c r="S138"/>
  <c r="Q156"/>
  <c r="M109"/>
  <c r="M113" s="1"/>
  <c r="K109"/>
  <c r="K113" s="1"/>
  <c r="R109"/>
  <c r="R113" s="1"/>
  <c r="L109"/>
  <c r="L113" s="1"/>
  <c r="Q109"/>
  <c r="Q113" s="1"/>
  <c r="S109"/>
  <c r="S113" s="1"/>
  <c r="O60"/>
  <c r="O149" s="1"/>
  <c r="J109"/>
  <c r="J113" s="1"/>
  <c r="O39"/>
  <c r="S156"/>
  <c r="N76"/>
  <c r="P43"/>
  <c r="O41"/>
  <c r="O106" s="1"/>
  <c r="O48"/>
  <c r="O38"/>
  <c r="O122" s="1"/>
  <c r="N53"/>
  <c r="O61"/>
  <c r="O108" s="1"/>
  <c r="O64"/>
  <c r="O129" s="1"/>
  <c r="O71"/>
  <c r="O133" s="1"/>
  <c r="O75"/>
  <c r="O135" s="1"/>
  <c r="O126"/>
  <c r="K97"/>
  <c r="P76"/>
  <c r="M138"/>
  <c r="K139"/>
  <c r="K138"/>
  <c r="L156"/>
  <c r="L157"/>
  <c r="P131" l="1"/>
  <c r="P138" s="1"/>
  <c r="N131"/>
  <c r="N138" s="1"/>
  <c r="O121"/>
  <c r="O123"/>
  <c r="O96"/>
  <c r="N97" s="1"/>
  <c r="O95"/>
  <c r="L166" s="1"/>
  <c r="N166" s="1"/>
  <c r="N152"/>
  <c r="N156" s="1"/>
  <c r="H166"/>
  <c r="J165"/>
  <c r="K158"/>
  <c r="K140"/>
  <c r="P156"/>
  <c r="P109"/>
  <c r="P114" s="1"/>
  <c r="K114"/>
  <c r="P157"/>
  <c r="O105"/>
  <c r="O155"/>
  <c r="O152"/>
  <c r="O134"/>
  <c r="O137" s="1"/>
  <c r="O127"/>
  <c r="O111"/>
  <c r="O112" s="1"/>
  <c r="O104"/>
  <c r="N109"/>
  <c r="N113" s="1"/>
  <c r="M114"/>
  <c r="L114"/>
  <c r="O53"/>
  <c r="O43"/>
  <c r="O76"/>
  <c r="O66"/>
  <c r="P139" l="1"/>
  <c r="N139"/>
  <c r="O131"/>
  <c r="O139" s="1"/>
  <c r="N157"/>
  <c r="P113"/>
  <c r="H165"/>
  <c r="J167"/>
  <c r="L165"/>
  <c r="L167" s="1"/>
  <c r="K115"/>
  <c r="O109"/>
  <c r="O114" s="1"/>
  <c r="O157"/>
  <c r="O156"/>
  <c r="N114"/>
  <c r="N140" l="1"/>
  <c r="O138"/>
  <c r="N158"/>
  <c r="N115"/>
  <c r="N165"/>
  <c r="N167" s="1"/>
  <c r="H167"/>
  <c r="P166" s="1"/>
  <c r="O113"/>
  <c r="P165" l="1"/>
  <c r="P167" s="1"/>
</calcChain>
</file>

<file path=xl/sharedStrings.xml><?xml version="1.0" encoding="utf-8"?>
<sst xmlns="http://schemas.openxmlformats.org/spreadsheetml/2006/main" count="456" uniqueCount="179">
  <si>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</si>
  <si>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</si>
  <si>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</si>
  <si>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</si>
  <si>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</si>
  <si>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</si>
  <si>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</si>
  <si>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</si>
  <si>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</si>
  <si>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</si>
  <si>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</si>
  <si>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</si>
  <si>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</si>
  <si>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</si>
  <si>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</si>
  <si>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</si>
  <si>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</si>
  <si>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</si>
  <si>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</si>
  <si>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</si>
  <si>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</si>
  <si>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</si>
  <si>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</si>
  <si>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</si>
  <si>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</si>
  <si>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</si>
  <si>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</si>
  <si>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</si>
  <si>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</si>
  <si>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</si>
  <si>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</si>
  <si>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</si>
  <si>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</si>
  <si>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</si>
  <si>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</si>
  <si>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</si>
  <si>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</si>
  <si>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</si>
  <si>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</si>
  <si>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</si>
  <si>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</si>
  <si>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</si>
  <si>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</si>
  <si>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</si>
  <si>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</si>
  <si>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</si>
  <si>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</si>
  <si>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</si>
  <si>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</si>
  <si>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>TOTAL CREDITE / ORE PE SĂPTĂMÂNĂ / EVALUĂRI / PROCENT DIN TOTAL DISCIPLINE</t>
  </si>
  <si>
    <t xml:space="preserve">TOTAL ORE FIZICE / TOTAL ORE ALOCATE STUDIULUI </t>
  </si>
  <si>
    <t>DCOU</t>
  </si>
  <si>
    <t>DISCIPLINE DE PREGĂTIRE FUNDAMENTALĂ (DF)</t>
  </si>
  <si>
    <t>DISCIPLINE</t>
  </si>
  <si>
    <t>OBLIGATORII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</si>
  <si>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</si>
  <si>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</si>
  <si>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</si>
  <si>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</si>
  <si>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</si>
  <si>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</si>
  <si>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</si>
  <si>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</si>
  <si>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</si>
  <si>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</si>
  <si>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</si>
  <si>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</si>
  <si>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</si>
  <si>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>În contul a cel mult 3 discipline opţionale generale, studentul are dreptul să aleagă 3 discipline de la alte specializări ale facultăţilor din Universitatea „Babeş-Bolyai”.</t>
  </si>
  <si>
    <t>DISCIPLINE DE SPECIALITATE (DS)</t>
  </si>
  <si>
    <t>DISCIPLINE COMPLEMENTARE (DC)</t>
  </si>
  <si>
    <t>XND 1101</t>
  </si>
  <si>
    <t>XND 1102</t>
  </si>
  <si>
    <t>XND 1203</t>
  </si>
  <si>
    <t>XND 1204</t>
  </si>
  <si>
    <t>Examen de absolvire: Nivelul II</t>
  </si>
  <si>
    <t>PLAN DE ÎNVĂŢĂMÂNT  valabil începând din anul universitar 2016-2017</t>
  </si>
  <si>
    <t xml:space="preserve">TOTAL CREDITE / ORE PE SĂPTĂMÂNĂ / EVALUĂRI </t>
  </si>
  <si>
    <t xml:space="preserve">PROGRAM DE STUDII PSIHOPEDAGOGICE </t>
  </si>
  <si>
    <t>An I, Semestrul 1</t>
  </si>
  <si>
    <t>An I, Semestrul 2</t>
  </si>
  <si>
    <t>An II, Semestrul 3</t>
  </si>
  <si>
    <t>An II, Semestrul 4</t>
  </si>
  <si>
    <t>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absolvire)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</si>
  <si>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iunie-iulie (1 săptămână)
Proba 1: Prezentarea şi susţinerea lucrării de disertație - 10 credite
</t>
    </r>
  </si>
  <si>
    <t>Psihopedagogia adolescenţilor, tinerilor şi adulţilor</t>
  </si>
  <si>
    <t>Proiectarea şi managementul programelor educaţionale</t>
  </si>
  <si>
    <t xml:space="preserve">Didactica domeniului şi dezvoltăriI în didactica specialităţii (învăţământ liceal, postliceal, universitar)
</t>
  </si>
  <si>
    <t>DP</t>
  </si>
  <si>
    <t>DO</t>
  </si>
  <si>
    <t xml:space="preserve">Practică pedagogică (în învăţământul liceal, postliceal şi universitar)
</t>
  </si>
  <si>
    <t>XND 2305</t>
  </si>
  <si>
    <t>XND 2306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</si>
  <si>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</si>
  <si>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</si>
  <si>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</si>
  <si>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t>FACULTATEA DE ȘTIINȚE ECONOMICE ȘI GESTIUNEA AFACERILOR</t>
  </si>
  <si>
    <r>
      <t xml:space="preserve">Domeniul: </t>
    </r>
    <r>
      <rPr>
        <b/>
        <sz val="10"/>
        <color indexed="8"/>
        <rFont val="Times New Roman"/>
        <family val="1"/>
      </rPr>
      <t>Management</t>
    </r>
  </si>
  <si>
    <r>
      <t xml:space="preserve">Specializarea/ Programul de studiu: </t>
    </r>
    <r>
      <rPr>
        <b/>
        <sz val="10"/>
        <rFont val="Times New Roman"/>
        <family val="1"/>
      </rPr>
      <t>MANAGEMENTUL AFACERILOR (în limba maghiară)</t>
    </r>
  </si>
  <si>
    <r>
      <t xml:space="preserve">Limba de predare: </t>
    </r>
    <r>
      <rPr>
        <b/>
        <sz val="10"/>
        <color indexed="8"/>
        <rFont val="Times New Roman"/>
        <family val="1"/>
      </rPr>
      <t>Maghiară</t>
    </r>
  </si>
  <si>
    <r>
      <t xml:space="preserve">Titlul absolventului: </t>
    </r>
    <r>
      <rPr>
        <b/>
        <sz val="10"/>
        <color indexed="8"/>
        <rFont val="Times New Roman"/>
        <family val="1"/>
        <charset val="238"/>
      </rPr>
      <t>Master's Degree</t>
    </r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</si>
  <si>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Universitatea Corvinus din Budapesta, Ungaria
Aalborg University, Danemarca
Nottingham Trent University - Nottingham, Anglia
London Metropolitan University, Anglia
Universitatea din Pécs, Ungaria
Universitatea din Miskolc, Ungaria</t>
    </r>
  </si>
  <si>
    <t>EMM0140</t>
  </si>
  <si>
    <t>Managementul ciclului de proiecte</t>
  </si>
  <si>
    <t>EMM0037</t>
  </si>
  <si>
    <t>Comportament organizaţional</t>
  </si>
  <si>
    <t>EMM0367</t>
  </si>
  <si>
    <t>Contabilitate pentru manageri</t>
  </si>
  <si>
    <t>EMM0485</t>
  </si>
  <si>
    <t>Cercetări si previziuni socio-economice</t>
  </si>
  <si>
    <t>EMM0486</t>
  </si>
  <si>
    <t>Sisteme integrate de informaţii pentru întreprinderi</t>
  </si>
  <si>
    <t>EME/EMF 0042</t>
  </si>
  <si>
    <t>Comunicare  interculturală în afaceri (lb. engleză/franceză)</t>
  </si>
  <si>
    <t>EMM0343</t>
  </si>
  <si>
    <t>Supply chain management</t>
  </si>
  <si>
    <t>EMM0317</t>
  </si>
  <si>
    <t>Strategii de afaceri</t>
  </si>
  <si>
    <t>EMM0243</t>
  </si>
  <si>
    <t>Planul de afaceri</t>
  </si>
  <si>
    <t>EMM0487</t>
  </si>
  <si>
    <t>Strategii şi politici de dezvoltare a resurselor umane</t>
  </si>
  <si>
    <t>EMM0488</t>
  </si>
  <si>
    <t>Programe şi proiecte de dezvoltare rurală</t>
  </si>
  <si>
    <t>EME/EMF/EMG/EMI/EMS 0164</t>
  </si>
  <si>
    <t>Limba modernă în afaceri (limba engleză/franceză/germană/ italiană/spaniolă) - limba 2</t>
  </si>
  <si>
    <t>EMM0573</t>
  </si>
  <si>
    <t xml:space="preserve">Managementul inovării </t>
  </si>
  <si>
    <t>EMM0575</t>
  </si>
  <si>
    <t xml:space="preserve">Structuri de piaţă </t>
  </si>
  <si>
    <t>EMM0105</t>
  </si>
  <si>
    <t>Decizii de investiţii</t>
  </si>
  <si>
    <t>EME/EMF/EMG/EMI/EMS 0041</t>
  </si>
  <si>
    <t>Comunicare în afaceri (limba engleză/franceză/germană/italiană /spaniolă) - limba 2</t>
  </si>
  <si>
    <t>EMX0044</t>
  </si>
  <si>
    <t>Curs opțional 1</t>
  </si>
  <si>
    <t>EMX0045</t>
  </si>
  <si>
    <t>Curs opțional 2</t>
  </si>
  <si>
    <t>EMM0015</t>
  </si>
  <si>
    <t>Antreprenoriat</t>
  </si>
  <si>
    <t>EMX0046</t>
  </si>
  <si>
    <t>Curs opțional 3</t>
  </si>
  <si>
    <t>EMM0433</t>
  </si>
  <si>
    <t>Practică (Planul de afaceri/Supply Chain Management)</t>
  </si>
  <si>
    <t>EMM0483/ EMM0484</t>
  </si>
  <si>
    <t>CURS OPȚIONAL 1 și 2 (An II, Semestrul 3)</t>
  </si>
  <si>
    <t>EMM0491</t>
  </si>
  <si>
    <t>Tehnici de negociere</t>
  </si>
  <si>
    <t>EMM0210</t>
  </si>
  <si>
    <t>Marketing strategic</t>
  </si>
  <si>
    <t>EMM0375</t>
  </si>
  <si>
    <t>Controlling</t>
  </si>
  <si>
    <t>EMM0374</t>
  </si>
  <si>
    <t>Strategii financiare corporative</t>
  </si>
  <si>
    <t>EMM0609</t>
  </si>
  <si>
    <t>Strategii și tactici de stabilire a prețurilor</t>
  </si>
  <si>
    <t>Marketing on-line</t>
  </si>
  <si>
    <t>EMM0123</t>
  </si>
  <si>
    <t>Evaluarea întreprinderii</t>
  </si>
  <si>
    <t>EMM0661</t>
  </si>
  <si>
    <t>EMM0622</t>
  </si>
  <si>
    <t>Economie regională</t>
  </si>
  <si>
    <t>EMM0285</t>
  </si>
  <si>
    <t>Publicitate</t>
  </si>
  <si>
    <t>EMM0572</t>
  </si>
  <si>
    <t>Grafică publicitară computerizată</t>
  </si>
  <si>
    <t>CURS OPȚIONAL 3 (An II, Semestrul 4)</t>
  </si>
  <si>
    <t>Anexă la Planul de Învățământ specializarea / programul de studiu: Managementul afacerilor (în limba maghiară)</t>
  </si>
  <si>
    <t>EMM0415</t>
  </si>
  <si>
    <t>Indicatori cheie de performanţă</t>
  </si>
  <si>
    <t xml:space="preserve">Stagiu de cercetare/documentare şi pregătirea disertaţiei </t>
  </si>
  <si>
    <r>
      <t>Disciplina opţională 1</t>
    </r>
    <r>
      <rPr>
        <i/>
        <sz val="10"/>
        <color rgb="FFFF0000"/>
        <rFont val="Times New Roman"/>
        <family val="1"/>
      </rPr>
      <t xml:space="preserve">
</t>
    </r>
  </si>
  <si>
    <t>Disciplina opţională 2</t>
  </si>
  <si>
    <r>
      <rPr>
        <b/>
        <sz val="9"/>
        <rFont val="Times New Roman"/>
        <family val="1"/>
      </rPr>
      <t>Sem. 3</t>
    </r>
    <r>
      <rPr>
        <sz val="9"/>
        <rFont val="Times New Roman"/>
        <family val="1"/>
      </rPr>
      <t xml:space="preserve">: Se aleg două discipline din pachetele </t>
    </r>
    <r>
      <rPr>
        <b/>
        <sz val="9"/>
        <rFont val="Times New Roman"/>
        <family val="1"/>
      </rPr>
      <t xml:space="preserve">EMX0044 şi EMX0045: </t>
    </r>
    <r>
      <rPr>
        <sz val="9"/>
        <rFont val="Times New Roman"/>
        <family val="1"/>
      </rPr>
      <t>EMM0415, EMM0491, EMM0661, EMM0375, EMM0123, EMM0609.</t>
    </r>
  </si>
  <si>
    <r>
      <rPr>
        <b/>
        <sz val="9"/>
        <color indexed="8"/>
        <rFont val="Times New Roman"/>
        <family val="1"/>
      </rPr>
      <t>Sem. 4</t>
    </r>
    <r>
      <rPr>
        <sz val="9"/>
        <color indexed="8"/>
        <rFont val="Times New Roman"/>
        <family val="1"/>
      </rPr>
      <t xml:space="preserve">: Se alege  o disciplină din pachetul </t>
    </r>
    <r>
      <rPr>
        <b/>
        <sz val="9"/>
        <color indexed="8"/>
        <rFont val="Times New Roman"/>
        <family val="1"/>
      </rPr>
      <t>EMX0046</t>
    </r>
    <r>
      <rPr>
        <sz val="9"/>
        <color indexed="8"/>
        <rFont val="Times New Roman"/>
        <family val="1"/>
      </rPr>
      <t xml:space="preserve">: EMM0374, 
EMM0210, EMM0622, EMM0285, EMM0572. </t>
    </r>
  </si>
  <si>
    <r>
      <rPr>
        <b/>
        <sz val="10"/>
        <rFont val="Times New Roman"/>
        <family val="1"/>
      </rPr>
      <t xml:space="preserve">   107 </t>
    </r>
    <r>
      <rPr>
        <sz val="10"/>
        <rFont val="Times New Roman"/>
        <family val="1"/>
      </rPr>
      <t>de credite la disciplinele obligatorii;</t>
    </r>
  </si>
  <si>
    <r>
      <rPr>
        <b/>
        <sz val="10"/>
        <rFont val="Times New Roman"/>
        <family val="1"/>
      </rPr>
      <t xml:space="preserve">   13</t>
    </r>
    <r>
      <rPr>
        <sz val="10"/>
        <rFont val="Times New Roman"/>
        <family val="1"/>
      </rPr>
      <t xml:space="preserve"> credite la disciplinele opţionale; </t>
    </r>
  </si>
  <si>
    <t>OPŢIONALE</t>
  </si>
  <si>
    <t>MODUL PEDAGOGIC - Nivelul II: 30 de credite ECTS  + 5 credite ECTS aferente examenului de absolvire</t>
  </si>
</sst>
</file>

<file path=xl/styles.xml><?xml version="1.0" encoding="utf-8"?>
<styleSheet xmlns="http://schemas.openxmlformats.org/spreadsheetml/2006/main">
  <numFmts count="1">
    <numFmt numFmtId="164" formatCode="0;\-0;;@"/>
  </numFmts>
  <fonts count="19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27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1" fontId="1" fillId="4" borderId="1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  <protection locked="0"/>
    </xf>
    <xf numFmtId="1" fontId="11" fillId="4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1" fontId="13" fillId="3" borderId="1" xfId="0" applyNumberFormat="1" applyFont="1" applyFill="1" applyBorder="1" applyAlignment="1" applyProtection="1">
      <alignment horizontal="center" vertical="center"/>
      <protection locked="0"/>
    </xf>
    <xf numFmtId="10" fontId="2" fillId="3" borderId="3" xfId="1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left" vertical="center" wrapText="1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left" vertical="center"/>
      <protection locked="0"/>
    </xf>
    <xf numFmtId="1" fontId="13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0" fontId="15" fillId="4" borderId="1" xfId="0" applyFont="1" applyFill="1" applyBorder="1" applyAlignment="1" applyProtection="1">
      <alignment horizontal="left" vertical="center" wrapText="1"/>
      <protection locked="0"/>
    </xf>
    <xf numFmtId="1" fontId="1" fillId="4" borderId="1" xfId="0" applyNumberFormat="1" applyFont="1" applyFill="1" applyBorder="1" applyAlignment="1" applyProtection="1">
      <alignment horizontal="left" vertical="center"/>
      <protection locked="0"/>
    </xf>
    <xf numFmtId="1" fontId="1" fillId="4" borderId="2" xfId="0" applyNumberFormat="1" applyFont="1" applyFill="1" applyBorder="1" applyAlignment="1" applyProtection="1">
      <alignment horizontal="left" vertical="top" wrapText="1"/>
      <protection locked="0"/>
    </xf>
    <xf numFmtId="1" fontId="1" fillId="4" borderId="5" xfId="0" applyNumberFormat="1" applyFont="1" applyFill="1" applyBorder="1" applyAlignment="1" applyProtection="1">
      <alignment horizontal="left" vertical="top"/>
      <protection locked="0"/>
    </xf>
    <xf numFmtId="1" fontId="1" fillId="4" borderId="6" xfId="0" applyNumberFormat="1" applyFont="1" applyFill="1" applyBorder="1" applyAlignment="1" applyProtection="1">
      <alignment horizontal="left" vertical="top"/>
      <protection locked="0"/>
    </xf>
    <xf numFmtId="0" fontId="9" fillId="0" borderId="0" xfId="0" applyFont="1"/>
    <xf numFmtId="0" fontId="1" fillId="0" borderId="0" xfId="0" applyFont="1" applyAlignment="1" applyProtection="1">
      <alignment horizontal="left" vertical="top" wrapText="1"/>
      <protection locked="0"/>
    </xf>
    <xf numFmtId="1" fontId="2" fillId="4" borderId="2" xfId="0" applyNumberFormat="1" applyFont="1" applyFill="1" applyBorder="1" applyAlignment="1" applyProtection="1">
      <alignment horizontal="center" vertical="center"/>
      <protection locked="0"/>
    </xf>
    <xf numFmtId="1" fontId="2" fillId="4" borderId="5" xfId="0" applyNumberFormat="1" applyFont="1" applyFill="1" applyBorder="1" applyAlignment="1" applyProtection="1">
      <alignment horizontal="center" vertical="center"/>
      <protection locked="0"/>
    </xf>
    <xf numFmtId="1" fontId="2" fillId="4" borderId="6" xfId="0" applyNumberFormat="1" applyFont="1" applyFill="1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left" vertical="top"/>
      <protection locked="0"/>
    </xf>
    <xf numFmtId="1" fontId="1" fillId="3" borderId="6" xfId="0" applyNumberFormat="1" applyFont="1" applyFill="1" applyBorder="1" applyAlignment="1" applyProtection="1">
      <alignment horizontal="left" vertical="top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1" fontId="1" fillId="4" borderId="2" xfId="0" applyNumberFormat="1" applyFont="1" applyFill="1" applyBorder="1" applyAlignment="1" applyProtection="1">
      <alignment horizontal="left" vertical="center" wrapText="1"/>
      <protection locked="0"/>
    </xf>
    <xf numFmtId="1" fontId="1" fillId="4" borderId="5" xfId="0" applyNumberFormat="1" applyFont="1" applyFill="1" applyBorder="1" applyAlignment="1" applyProtection="1">
      <alignment horizontal="left" vertical="center"/>
      <protection locked="0"/>
    </xf>
    <xf numFmtId="1" fontId="1" fillId="4" borderId="6" xfId="0" applyNumberFormat="1" applyFont="1" applyFill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4" borderId="9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10" xfId="0" applyFont="1" applyFill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0" fontId="2" fillId="4" borderId="7" xfId="0" applyFont="1" applyFill="1" applyBorder="1" applyAlignment="1" applyProtection="1">
      <alignment horizontal="left" vertical="center" wrapText="1"/>
    </xf>
    <xf numFmtId="0" fontId="2" fillId="4" borderId="8" xfId="0" applyFont="1" applyFill="1" applyBorder="1" applyAlignment="1" applyProtection="1">
      <alignment horizontal="left" vertical="center" wrapText="1"/>
    </xf>
    <xf numFmtId="2" fontId="1" fillId="4" borderId="9" xfId="0" applyNumberFormat="1" applyFont="1" applyFill="1" applyBorder="1" applyAlignment="1" applyProtection="1">
      <alignment horizontal="center" vertical="center"/>
    </xf>
    <xf numFmtId="2" fontId="1" fillId="4" borderId="4" xfId="0" applyNumberFormat="1" applyFont="1" applyFill="1" applyBorder="1" applyAlignment="1" applyProtection="1">
      <alignment horizontal="center" vertical="center"/>
    </xf>
    <xf numFmtId="2" fontId="1" fillId="4" borderId="10" xfId="0" applyNumberFormat="1" applyFont="1" applyFill="1" applyBorder="1" applyAlignment="1" applyProtection="1">
      <alignment horizontal="center" vertical="center"/>
    </xf>
    <xf numFmtId="2" fontId="1" fillId="4" borderId="11" xfId="0" applyNumberFormat="1" applyFont="1" applyFill="1" applyBorder="1" applyAlignment="1" applyProtection="1">
      <alignment horizontal="center" vertical="center"/>
    </xf>
    <xf numFmtId="2" fontId="1" fillId="4" borderId="7" xfId="0" applyNumberFormat="1" applyFont="1" applyFill="1" applyBorder="1" applyAlignment="1" applyProtection="1">
      <alignment horizontal="center" vertical="center"/>
    </xf>
    <xf numFmtId="2" fontId="1" fillId="4" borderId="8" xfId="0" applyNumberFormat="1" applyFont="1" applyFill="1" applyBorder="1" applyAlignment="1" applyProtection="1">
      <alignment horizontal="center" vertical="center"/>
    </xf>
    <xf numFmtId="1" fontId="2" fillId="4" borderId="2" xfId="0" applyNumberFormat="1" applyFont="1" applyFill="1" applyBorder="1" applyAlignment="1" applyProtection="1">
      <alignment horizontal="center" vertical="center"/>
    </xf>
    <xf numFmtId="1" fontId="2" fillId="4" borderId="5" xfId="0" applyNumberFormat="1" applyFont="1" applyFill="1" applyBorder="1" applyAlignment="1" applyProtection="1">
      <alignment horizontal="center" vertical="center"/>
    </xf>
    <xf numFmtId="1" fontId="2" fillId="4" borderId="6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9" fontId="8" fillId="0" borderId="2" xfId="0" applyNumberFormat="1" applyFont="1" applyBorder="1" applyAlignment="1" applyProtection="1">
      <alignment horizontal="center" vertical="center"/>
    </xf>
    <xf numFmtId="9" fontId="8" fillId="0" borderId="6" xfId="0" applyNumberFormat="1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9" fillId="0" borderId="2" xfId="0" applyNumberFormat="1" applyFont="1" applyBorder="1" applyAlignment="1" applyProtection="1">
      <alignment horizontal="center"/>
    </xf>
    <xf numFmtId="9" fontId="9" fillId="0" borderId="6" xfId="0" applyNumberFormat="1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Protection="1">
      <protection locked="0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2" fillId="0" borderId="5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1" fontId="13" fillId="3" borderId="2" xfId="0" applyNumberFormat="1" applyFont="1" applyFill="1" applyBorder="1" applyAlignment="1" applyProtection="1">
      <alignment horizontal="left" vertical="center"/>
      <protection locked="0"/>
    </xf>
    <xf numFmtId="1" fontId="13" fillId="3" borderId="5" xfId="0" applyNumberFormat="1" applyFont="1" applyFill="1" applyBorder="1" applyAlignment="1" applyProtection="1">
      <alignment horizontal="left" vertical="center"/>
      <protection locked="0"/>
    </xf>
    <xf numFmtId="1" fontId="13" fillId="3" borderId="6" xfId="0" applyNumberFormat="1" applyFont="1" applyFill="1" applyBorder="1" applyAlignment="1" applyProtection="1">
      <alignment horizontal="left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left" vertical="top" wrapText="1"/>
      <protection locked="0"/>
    </xf>
    <xf numFmtId="0" fontId="15" fillId="4" borderId="0" xfId="0" applyFont="1" applyFill="1" applyBorder="1" applyAlignment="1" applyProtection="1">
      <alignment horizontal="left" vertical="top"/>
      <protection locked="0"/>
    </xf>
    <xf numFmtId="0" fontId="16" fillId="4" borderId="0" xfId="0" applyFont="1" applyFill="1" applyBorder="1" applyAlignment="1" applyProtection="1">
      <alignment horizontal="left" vertical="center" wrapText="1"/>
      <protection locked="0"/>
    </xf>
    <xf numFmtId="0" fontId="13" fillId="3" borderId="2" xfId="0" applyFont="1" applyFill="1" applyBorder="1" applyAlignment="1" applyProtection="1">
      <alignment horizontal="left" vertical="center"/>
      <protection locked="0"/>
    </xf>
    <xf numFmtId="0" fontId="13" fillId="3" borderId="5" xfId="0" applyFont="1" applyFill="1" applyBorder="1" applyAlignment="1" applyProtection="1">
      <alignment horizontal="left" vertical="center"/>
      <protection locked="0"/>
    </xf>
    <xf numFmtId="0" fontId="13" fillId="3" borderId="6" xfId="0" applyFont="1" applyFill="1" applyBorder="1" applyAlignment="1" applyProtection="1">
      <alignment horizontal="left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2" fillId="4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4"/>
  <sheetViews>
    <sheetView tabSelected="1" view="pageLayout" topLeftCell="A19" workbookViewId="0">
      <selection activeCell="G31" sqref="G31"/>
    </sheetView>
  </sheetViews>
  <sheetFormatPr defaultColWidth="9.140625" defaultRowHeight="12.75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140625" style="1" customWidth="1"/>
    <col min="8" max="8" width="8.28515625" style="1" customWidth="1"/>
    <col min="9" max="9" width="5.85546875" style="1" customWidth="1"/>
    <col min="10" max="10" width="7.28515625" style="1" customWidth="1"/>
    <col min="11" max="11" width="5.7109375" style="1" customWidth="1"/>
    <col min="12" max="12" width="6.140625" style="1" customWidth="1"/>
    <col min="13" max="13" width="5.5703125" style="1" customWidth="1"/>
    <col min="14" max="18" width="6" style="1" customWidth="1"/>
    <col min="19" max="19" width="6.140625" style="1" customWidth="1"/>
    <col min="20" max="20" width="10.42578125" style="1" customWidth="1"/>
    <col min="21" max="16384" width="9.140625" style="1"/>
  </cols>
  <sheetData>
    <row r="1" spans="1:20" ht="15.75" customHeight="1">
      <c r="A1" s="182" t="s">
        <v>76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85" t="s">
        <v>19</v>
      </c>
      <c r="N1" s="185"/>
      <c r="O1" s="185"/>
      <c r="P1" s="185"/>
      <c r="Q1" s="185"/>
      <c r="R1" s="185"/>
      <c r="S1" s="185"/>
      <c r="T1" s="185"/>
    </row>
    <row r="2" spans="1:20" ht="6.7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20" ht="39" customHeight="1">
      <c r="A3" s="183" t="s">
        <v>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M3" s="189"/>
      <c r="N3" s="190"/>
      <c r="O3" s="193" t="s">
        <v>35</v>
      </c>
      <c r="P3" s="194"/>
      <c r="Q3" s="195"/>
      <c r="R3" s="193" t="s">
        <v>36</v>
      </c>
      <c r="S3" s="194"/>
      <c r="T3" s="195"/>
    </row>
    <row r="4" spans="1:20" ht="17.25" customHeight="1">
      <c r="A4" s="183" t="s">
        <v>96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M4" s="191" t="s">
        <v>14</v>
      </c>
      <c r="N4" s="192"/>
      <c r="O4" s="196">
        <v>16</v>
      </c>
      <c r="P4" s="197"/>
      <c r="Q4" s="198"/>
      <c r="R4" s="196">
        <v>14</v>
      </c>
      <c r="S4" s="197"/>
      <c r="T4" s="198"/>
    </row>
    <row r="5" spans="1:20" ht="16.5" customHeight="1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M5" s="191" t="s">
        <v>15</v>
      </c>
      <c r="N5" s="192"/>
      <c r="O5" s="196">
        <v>16</v>
      </c>
      <c r="P5" s="197"/>
      <c r="Q5" s="198"/>
      <c r="R5" s="196">
        <v>15</v>
      </c>
      <c r="S5" s="197"/>
      <c r="T5" s="198"/>
    </row>
    <row r="6" spans="1:20" ht="15" customHeight="1">
      <c r="A6" s="199" t="s">
        <v>97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M6" s="204"/>
      <c r="N6" s="204"/>
      <c r="O6" s="200"/>
      <c r="P6" s="200"/>
      <c r="Q6" s="200"/>
      <c r="R6" s="200"/>
      <c r="S6" s="200"/>
      <c r="T6" s="200"/>
    </row>
    <row r="7" spans="1:20" ht="18" customHeight="1">
      <c r="A7" s="205" t="s">
        <v>98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</row>
    <row r="8" spans="1:20" ht="18.75" customHeight="1">
      <c r="A8" s="188" t="s">
        <v>99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M8" s="211" t="s">
        <v>84</v>
      </c>
      <c r="N8" s="211"/>
      <c r="O8" s="211"/>
      <c r="P8" s="211"/>
      <c r="Q8" s="211"/>
      <c r="R8" s="211"/>
      <c r="S8" s="211"/>
      <c r="T8" s="211"/>
    </row>
    <row r="9" spans="1:20" ht="15" customHeight="1">
      <c r="A9" s="188" t="s">
        <v>100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M9" s="211"/>
      <c r="N9" s="211"/>
      <c r="O9" s="211"/>
      <c r="P9" s="211"/>
      <c r="Q9" s="211"/>
      <c r="R9" s="211"/>
      <c r="S9" s="211"/>
      <c r="T9" s="211"/>
    </row>
    <row r="10" spans="1:20" ht="16.5" customHeight="1">
      <c r="A10" s="188" t="s">
        <v>61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M10" s="211"/>
      <c r="N10" s="211"/>
      <c r="O10" s="211"/>
      <c r="P10" s="211"/>
      <c r="Q10" s="211"/>
      <c r="R10" s="211"/>
      <c r="S10" s="211"/>
      <c r="T10" s="211"/>
    </row>
    <row r="11" spans="1:20">
      <c r="A11" s="188" t="s">
        <v>17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M11" s="211"/>
      <c r="N11" s="211"/>
      <c r="O11" s="211"/>
      <c r="P11" s="211"/>
      <c r="Q11" s="211"/>
      <c r="R11" s="211"/>
      <c r="S11" s="211"/>
      <c r="T11" s="211"/>
    </row>
    <row r="12" spans="1:20" ht="14.25" customHeight="1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M12" s="2"/>
      <c r="N12" s="2"/>
      <c r="O12" s="2"/>
      <c r="P12" s="2"/>
      <c r="Q12" s="2"/>
      <c r="R12" s="2"/>
    </row>
    <row r="13" spans="1:20">
      <c r="A13" s="214" t="s">
        <v>66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M13" s="215" t="s">
        <v>20</v>
      </c>
      <c r="N13" s="215"/>
      <c r="O13" s="215"/>
      <c r="P13" s="215"/>
      <c r="Q13" s="215"/>
      <c r="R13" s="215"/>
      <c r="S13" s="215"/>
      <c r="T13" s="215"/>
    </row>
    <row r="14" spans="1:20" ht="18" customHeight="1">
      <c r="A14" s="214" t="s">
        <v>62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M14" s="218" t="s">
        <v>173</v>
      </c>
      <c r="N14" s="218"/>
      <c r="O14" s="218"/>
      <c r="P14" s="218"/>
      <c r="Q14" s="218"/>
      <c r="R14" s="218"/>
      <c r="S14" s="218"/>
      <c r="T14" s="218"/>
    </row>
    <row r="15" spans="1:20" ht="18" customHeight="1">
      <c r="A15" s="212" t="s">
        <v>175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M15" s="218"/>
      <c r="N15" s="218"/>
      <c r="O15" s="218"/>
      <c r="P15" s="218"/>
      <c r="Q15" s="218"/>
      <c r="R15" s="218"/>
      <c r="S15" s="218"/>
      <c r="T15" s="218"/>
    </row>
    <row r="16" spans="1:20" ht="12.75" customHeight="1">
      <c r="A16" s="212" t="s">
        <v>176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M16" s="216" t="s">
        <v>174</v>
      </c>
      <c r="N16" s="217"/>
      <c r="O16" s="217"/>
      <c r="P16" s="217"/>
      <c r="Q16" s="217"/>
      <c r="R16" s="217"/>
      <c r="S16" s="217"/>
      <c r="T16" s="217"/>
    </row>
    <row r="17" spans="1:20" ht="12.75" customHeight="1">
      <c r="A17" s="188" t="s">
        <v>1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M17" s="217"/>
      <c r="N17" s="217"/>
      <c r="O17" s="217"/>
      <c r="P17" s="217"/>
      <c r="Q17" s="217"/>
      <c r="R17" s="217"/>
      <c r="S17" s="217"/>
      <c r="T17" s="217"/>
    </row>
    <row r="18" spans="1:20" ht="14.25" customHeight="1">
      <c r="A18" s="188" t="s">
        <v>67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M18" s="184"/>
      <c r="N18" s="184"/>
      <c r="O18" s="184"/>
      <c r="P18" s="184"/>
      <c r="Q18" s="184"/>
      <c r="R18" s="184"/>
      <c r="S18" s="184"/>
      <c r="T18" s="184"/>
    </row>
    <row r="19" spans="1:20">
      <c r="A19" s="188"/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M19" s="184"/>
      <c r="N19" s="184"/>
      <c r="O19" s="184"/>
      <c r="P19" s="184"/>
      <c r="Q19" s="184"/>
      <c r="R19" s="184"/>
      <c r="S19" s="184"/>
      <c r="T19" s="184"/>
    </row>
    <row r="20" spans="1:20" ht="7.5" customHeight="1">
      <c r="A20" s="211" t="s">
        <v>83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M20" s="2"/>
      <c r="N20" s="2"/>
      <c r="O20" s="2"/>
      <c r="P20" s="2"/>
      <c r="Q20" s="2"/>
      <c r="R20" s="2"/>
    </row>
    <row r="21" spans="1:20" ht="15" customHeight="1">
      <c r="A21" s="211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M21" s="67" t="s">
        <v>68</v>
      </c>
      <c r="N21" s="67"/>
      <c r="O21" s="67"/>
      <c r="P21" s="67"/>
      <c r="Q21" s="67"/>
      <c r="R21" s="67"/>
      <c r="S21" s="67"/>
      <c r="T21" s="67"/>
    </row>
    <row r="22" spans="1:20" ht="15" customHeight="1">
      <c r="A22" s="211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M22" s="67"/>
      <c r="N22" s="67"/>
      <c r="O22" s="67"/>
      <c r="P22" s="67"/>
      <c r="Q22" s="67"/>
      <c r="R22" s="67"/>
      <c r="S22" s="67"/>
      <c r="T22" s="67"/>
    </row>
    <row r="23" spans="1:20" ht="13.5" customHeight="1">
      <c r="A23" s="211"/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M23" s="67"/>
      <c r="N23" s="67"/>
      <c r="O23" s="67"/>
      <c r="P23" s="67"/>
      <c r="Q23" s="67"/>
      <c r="R23" s="67"/>
      <c r="S23" s="67"/>
      <c r="T23" s="67"/>
    </row>
    <row r="24" spans="1:20" ht="6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M24" s="3"/>
      <c r="N24" s="3"/>
      <c r="O24" s="3"/>
      <c r="P24" s="3"/>
      <c r="Q24" s="3"/>
      <c r="R24" s="3"/>
    </row>
    <row r="25" spans="1:20">
      <c r="A25" s="122" t="s">
        <v>16</v>
      </c>
      <c r="B25" s="122"/>
      <c r="C25" s="122"/>
      <c r="D25" s="122"/>
      <c r="E25" s="122"/>
      <c r="F25" s="122"/>
      <c r="G25" s="122"/>
      <c r="M25" s="213" t="s">
        <v>101</v>
      </c>
      <c r="N25" s="213"/>
      <c r="O25" s="213"/>
      <c r="P25" s="213"/>
      <c r="Q25" s="213"/>
      <c r="R25" s="213"/>
      <c r="S25" s="213"/>
      <c r="T25" s="213"/>
    </row>
    <row r="26" spans="1:20" ht="26.25" customHeight="1">
      <c r="A26" s="4"/>
      <c r="B26" s="193" t="s">
        <v>2</v>
      </c>
      <c r="C26" s="195"/>
      <c r="D26" s="193" t="s">
        <v>3</v>
      </c>
      <c r="E26" s="194"/>
      <c r="F26" s="195"/>
      <c r="G26" s="165" t="s">
        <v>18</v>
      </c>
      <c r="H26" s="165" t="s">
        <v>10</v>
      </c>
      <c r="I26" s="193" t="s">
        <v>4</v>
      </c>
      <c r="J26" s="194"/>
      <c r="K26" s="195"/>
      <c r="M26" s="213"/>
      <c r="N26" s="213"/>
      <c r="O26" s="213"/>
      <c r="P26" s="213"/>
      <c r="Q26" s="213"/>
      <c r="R26" s="213"/>
      <c r="S26" s="213"/>
      <c r="T26" s="213"/>
    </row>
    <row r="27" spans="1:20" ht="14.25" customHeight="1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166"/>
      <c r="H27" s="166"/>
      <c r="I27" s="5" t="s">
        <v>11</v>
      </c>
      <c r="J27" s="5" t="s">
        <v>12</v>
      </c>
      <c r="K27" s="5" t="s">
        <v>13</v>
      </c>
      <c r="M27" s="213"/>
      <c r="N27" s="213"/>
      <c r="O27" s="213"/>
      <c r="P27" s="213"/>
      <c r="Q27" s="213"/>
      <c r="R27" s="213"/>
      <c r="S27" s="213"/>
      <c r="T27" s="213"/>
    </row>
    <row r="28" spans="1:20" ht="17.25" customHeight="1">
      <c r="A28" s="6" t="s">
        <v>14</v>
      </c>
      <c r="B28" s="7">
        <v>14</v>
      </c>
      <c r="C28" s="7">
        <v>14</v>
      </c>
      <c r="D28" s="25">
        <v>3</v>
      </c>
      <c r="E28" s="25">
        <v>3</v>
      </c>
      <c r="F28" s="25">
        <v>2</v>
      </c>
      <c r="G28" s="25"/>
      <c r="H28" s="49">
        <v>0</v>
      </c>
      <c r="I28" s="25">
        <v>3</v>
      </c>
      <c r="J28" s="25">
        <v>1</v>
      </c>
      <c r="K28" s="25">
        <v>12</v>
      </c>
      <c r="M28" s="213"/>
      <c r="N28" s="213"/>
      <c r="O28" s="213"/>
      <c r="P28" s="213"/>
      <c r="Q28" s="213"/>
      <c r="R28" s="213"/>
      <c r="S28" s="213"/>
      <c r="T28" s="213"/>
    </row>
    <row r="29" spans="1:20" ht="15" customHeight="1">
      <c r="A29" s="6" t="s">
        <v>15</v>
      </c>
      <c r="B29" s="7">
        <v>14</v>
      </c>
      <c r="C29" s="7">
        <v>12</v>
      </c>
      <c r="D29" s="25">
        <v>3</v>
      </c>
      <c r="E29" s="25">
        <v>2</v>
      </c>
      <c r="F29" s="25">
        <v>2</v>
      </c>
      <c r="G29" s="25"/>
      <c r="H29" s="25">
        <v>3</v>
      </c>
      <c r="I29" s="25">
        <v>3</v>
      </c>
      <c r="J29" s="25">
        <v>1</v>
      </c>
      <c r="K29" s="25">
        <v>12</v>
      </c>
      <c r="M29" s="213"/>
      <c r="N29" s="213"/>
      <c r="O29" s="213"/>
      <c r="P29" s="213"/>
      <c r="Q29" s="213"/>
      <c r="R29" s="213"/>
      <c r="S29" s="213"/>
      <c r="T29" s="213"/>
    </row>
    <row r="30" spans="1:20" ht="22.5" customHeight="1">
      <c r="A30" s="33"/>
      <c r="B30" s="31"/>
      <c r="C30" s="31"/>
      <c r="D30" s="31"/>
      <c r="E30" s="31"/>
      <c r="F30" s="31"/>
      <c r="G30" s="31"/>
      <c r="H30" s="31"/>
      <c r="I30" s="31"/>
      <c r="J30" s="31"/>
      <c r="K30" s="34"/>
      <c r="M30" s="213"/>
      <c r="N30" s="213"/>
      <c r="O30" s="213"/>
      <c r="P30" s="213"/>
      <c r="Q30" s="213"/>
      <c r="R30" s="213"/>
      <c r="S30" s="213"/>
      <c r="T30" s="213"/>
    </row>
    <row r="31" spans="1:20" ht="21" customHeight="1">
      <c r="A31" s="32"/>
      <c r="B31" s="32"/>
      <c r="C31" s="32"/>
      <c r="D31" s="32"/>
      <c r="E31" s="32"/>
      <c r="F31" s="32"/>
      <c r="G31" s="32"/>
      <c r="M31" s="213"/>
      <c r="N31" s="213"/>
      <c r="O31" s="213"/>
      <c r="P31" s="213"/>
      <c r="Q31" s="213"/>
      <c r="R31" s="213"/>
      <c r="S31" s="213"/>
      <c r="T31" s="213"/>
    </row>
    <row r="32" spans="1:20" ht="16.5" customHeight="1">
      <c r="A32" s="186" t="s">
        <v>21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</row>
    <row r="33" spans="1:20" ht="8.25" hidden="1" customHeight="1">
      <c r="N33" s="9"/>
      <c r="O33" s="10" t="s">
        <v>37</v>
      </c>
      <c r="P33" s="10" t="s">
        <v>38</v>
      </c>
      <c r="Q33" s="10" t="s">
        <v>39</v>
      </c>
      <c r="R33" s="10" t="s">
        <v>40</v>
      </c>
      <c r="S33" s="10" t="s">
        <v>51</v>
      </c>
      <c r="T33" s="10"/>
    </row>
    <row r="34" spans="1:20" ht="17.25" customHeight="1">
      <c r="A34" s="98" t="s">
        <v>43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</row>
    <row r="35" spans="1:20" ht="25.5" customHeight="1">
      <c r="A35" s="202" t="s">
        <v>27</v>
      </c>
      <c r="B35" s="206" t="s">
        <v>26</v>
      </c>
      <c r="C35" s="207"/>
      <c r="D35" s="207"/>
      <c r="E35" s="207"/>
      <c r="F35" s="207"/>
      <c r="G35" s="207"/>
      <c r="H35" s="207"/>
      <c r="I35" s="208"/>
      <c r="J35" s="165" t="s">
        <v>41</v>
      </c>
      <c r="K35" s="167" t="s">
        <v>24</v>
      </c>
      <c r="L35" s="168"/>
      <c r="M35" s="169"/>
      <c r="N35" s="167" t="s">
        <v>42</v>
      </c>
      <c r="O35" s="170"/>
      <c r="P35" s="171"/>
      <c r="Q35" s="167" t="s">
        <v>23</v>
      </c>
      <c r="R35" s="168"/>
      <c r="S35" s="169"/>
      <c r="T35" s="201" t="s">
        <v>22</v>
      </c>
    </row>
    <row r="36" spans="1:20" ht="13.5" customHeight="1">
      <c r="A36" s="203"/>
      <c r="B36" s="209"/>
      <c r="C36" s="181"/>
      <c r="D36" s="181"/>
      <c r="E36" s="181"/>
      <c r="F36" s="181"/>
      <c r="G36" s="181"/>
      <c r="H36" s="181"/>
      <c r="I36" s="210"/>
      <c r="J36" s="166"/>
      <c r="K36" s="5" t="s">
        <v>28</v>
      </c>
      <c r="L36" s="5" t="s">
        <v>29</v>
      </c>
      <c r="M36" s="5" t="s">
        <v>30</v>
      </c>
      <c r="N36" s="5" t="s">
        <v>34</v>
      </c>
      <c r="O36" s="5" t="s">
        <v>7</v>
      </c>
      <c r="P36" s="5" t="s">
        <v>31</v>
      </c>
      <c r="Q36" s="5" t="s">
        <v>32</v>
      </c>
      <c r="R36" s="5" t="s">
        <v>28</v>
      </c>
      <c r="S36" s="5" t="s">
        <v>33</v>
      </c>
      <c r="T36" s="166"/>
    </row>
    <row r="37" spans="1:20">
      <c r="A37" s="48" t="s">
        <v>102</v>
      </c>
      <c r="B37" s="162" t="s">
        <v>103</v>
      </c>
      <c r="C37" s="163"/>
      <c r="D37" s="163"/>
      <c r="E37" s="163"/>
      <c r="F37" s="163"/>
      <c r="G37" s="163"/>
      <c r="H37" s="163"/>
      <c r="I37" s="164"/>
      <c r="J37" s="11">
        <v>5</v>
      </c>
      <c r="K37" s="11">
        <v>2</v>
      </c>
      <c r="L37" s="11">
        <v>1</v>
      </c>
      <c r="M37" s="11">
        <v>0</v>
      </c>
      <c r="N37" s="18">
        <f>K37+L37+M37</f>
        <v>3</v>
      </c>
      <c r="O37" s="19">
        <f>P37-N37</f>
        <v>6</v>
      </c>
      <c r="P37" s="19">
        <f>ROUND(PRODUCT(J37,25)/14,0)</f>
        <v>9</v>
      </c>
      <c r="Q37" s="24" t="s">
        <v>32</v>
      </c>
      <c r="R37" s="11"/>
      <c r="S37" s="25"/>
      <c r="T37" s="11" t="s">
        <v>39</v>
      </c>
    </row>
    <row r="38" spans="1:20">
      <c r="A38" s="48" t="s">
        <v>104</v>
      </c>
      <c r="B38" s="162" t="s">
        <v>105</v>
      </c>
      <c r="C38" s="163"/>
      <c r="D38" s="163"/>
      <c r="E38" s="163"/>
      <c r="F38" s="163"/>
      <c r="G38" s="163"/>
      <c r="H38" s="163"/>
      <c r="I38" s="164"/>
      <c r="J38" s="11">
        <v>5</v>
      </c>
      <c r="K38" s="11">
        <v>1</v>
      </c>
      <c r="L38" s="11">
        <v>2</v>
      </c>
      <c r="M38" s="11">
        <v>0</v>
      </c>
      <c r="N38" s="18">
        <f t="shared" ref="N38:N42" si="0">K38+L38+M38</f>
        <v>3</v>
      </c>
      <c r="O38" s="19">
        <f t="shared" ref="O38:O42" si="1">P38-N38</f>
        <v>6</v>
      </c>
      <c r="P38" s="19">
        <f t="shared" ref="P38:P42" si="2">ROUND(PRODUCT(J38,25)/14,0)</f>
        <v>9</v>
      </c>
      <c r="Q38" s="24" t="s">
        <v>32</v>
      </c>
      <c r="R38" s="11"/>
      <c r="S38" s="25"/>
      <c r="T38" s="11" t="s">
        <v>39</v>
      </c>
    </row>
    <row r="39" spans="1:20">
      <c r="A39" s="48" t="s">
        <v>106</v>
      </c>
      <c r="B39" s="162" t="s">
        <v>107</v>
      </c>
      <c r="C39" s="163"/>
      <c r="D39" s="163"/>
      <c r="E39" s="163"/>
      <c r="F39" s="163"/>
      <c r="G39" s="163"/>
      <c r="H39" s="163"/>
      <c r="I39" s="164"/>
      <c r="J39" s="11">
        <v>5</v>
      </c>
      <c r="K39" s="11">
        <v>1</v>
      </c>
      <c r="L39" s="11">
        <v>2</v>
      </c>
      <c r="M39" s="11">
        <v>0</v>
      </c>
      <c r="N39" s="18">
        <f t="shared" si="0"/>
        <v>3</v>
      </c>
      <c r="O39" s="19">
        <f t="shared" si="1"/>
        <v>6</v>
      </c>
      <c r="P39" s="19">
        <f t="shared" si="2"/>
        <v>9</v>
      </c>
      <c r="Q39" s="24" t="s">
        <v>32</v>
      </c>
      <c r="R39" s="11"/>
      <c r="S39" s="25"/>
      <c r="T39" s="11" t="s">
        <v>37</v>
      </c>
    </row>
    <row r="40" spans="1:20">
      <c r="A40" s="48" t="s">
        <v>108</v>
      </c>
      <c r="B40" s="162" t="s">
        <v>109</v>
      </c>
      <c r="C40" s="163"/>
      <c r="D40" s="163"/>
      <c r="E40" s="163"/>
      <c r="F40" s="163"/>
      <c r="G40" s="163"/>
      <c r="H40" s="163"/>
      <c r="I40" s="164"/>
      <c r="J40" s="11">
        <v>5</v>
      </c>
      <c r="K40" s="11">
        <v>2</v>
      </c>
      <c r="L40" s="11">
        <v>1</v>
      </c>
      <c r="M40" s="11">
        <v>0</v>
      </c>
      <c r="N40" s="18">
        <f t="shared" si="0"/>
        <v>3</v>
      </c>
      <c r="O40" s="19">
        <f t="shared" si="1"/>
        <v>6</v>
      </c>
      <c r="P40" s="19">
        <f t="shared" si="2"/>
        <v>9</v>
      </c>
      <c r="Q40" s="24" t="s">
        <v>32</v>
      </c>
      <c r="R40" s="11"/>
      <c r="S40" s="25"/>
      <c r="T40" s="11" t="s">
        <v>37</v>
      </c>
    </row>
    <row r="41" spans="1:20">
      <c r="A41" s="48" t="s">
        <v>110</v>
      </c>
      <c r="B41" s="162" t="s">
        <v>111</v>
      </c>
      <c r="C41" s="163"/>
      <c r="D41" s="163"/>
      <c r="E41" s="163"/>
      <c r="F41" s="163"/>
      <c r="G41" s="163"/>
      <c r="H41" s="163"/>
      <c r="I41" s="164"/>
      <c r="J41" s="11">
        <v>5</v>
      </c>
      <c r="K41" s="11">
        <v>1</v>
      </c>
      <c r="L41" s="11">
        <v>0</v>
      </c>
      <c r="M41" s="11">
        <v>1</v>
      </c>
      <c r="N41" s="18">
        <f t="shared" si="0"/>
        <v>2</v>
      </c>
      <c r="O41" s="19">
        <f t="shared" si="1"/>
        <v>7</v>
      </c>
      <c r="P41" s="19">
        <f t="shared" si="2"/>
        <v>9</v>
      </c>
      <c r="Q41" s="24"/>
      <c r="R41" s="11" t="s">
        <v>28</v>
      </c>
      <c r="S41" s="25"/>
      <c r="T41" s="11" t="s">
        <v>37</v>
      </c>
    </row>
    <row r="42" spans="1:20" ht="25.5">
      <c r="A42" s="50" t="s">
        <v>112</v>
      </c>
      <c r="B42" s="162" t="s">
        <v>113</v>
      </c>
      <c r="C42" s="163"/>
      <c r="D42" s="163"/>
      <c r="E42" s="163"/>
      <c r="F42" s="163"/>
      <c r="G42" s="163"/>
      <c r="H42" s="163"/>
      <c r="I42" s="164"/>
      <c r="J42" s="11">
        <v>5</v>
      </c>
      <c r="K42" s="11">
        <v>1</v>
      </c>
      <c r="L42" s="11">
        <v>1</v>
      </c>
      <c r="M42" s="11">
        <v>0</v>
      </c>
      <c r="N42" s="18">
        <f t="shared" si="0"/>
        <v>2</v>
      </c>
      <c r="O42" s="19">
        <f t="shared" si="1"/>
        <v>7</v>
      </c>
      <c r="P42" s="19">
        <f t="shared" si="2"/>
        <v>9</v>
      </c>
      <c r="Q42" s="24"/>
      <c r="R42" s="11" t="s">
        <v>28</v>
      </c>
      <c r="S42" s="25"/>
      <c r="T42" s="11" t="s">
        <v>40</v>
      </c>
    </row>
    <row r="43" spans="1:20">
      <c r="A43" s="21" t="s">
        <v>25</v>
      </c>
      <c r="B43" s="103"/>
      <c r="C43" s="150"/>
      <c r="D43" s="150"/>
      <c r="E43" s="150"/>
      <c r="F43" s="150"/>
      <c r="G43" s="150"/>
      <c r="H43" s="150"/>
      <c r="I43" s="104"/>
      <c r="J43" s="21">
        <f t="shared" ref="J43:P43" si="3">SUM(J37:J42)</f>
        <v>30</v>
      </c>
      <c r="K43" s="21">
        <f t="shared" si="3"/>
        <v>8</v>
      </c>
      <c r="L43" s="21">
        <f t="shared" si="3"/>
        <v>7</v>
      </c>
      <c r="M43" s="21">
        <f t="shared" si="3"/>
        <v>1</v>
      </c>
      <c r="N43" s="21">
        <f t="shared" si="3"/>
        <v>16</v>
      </c>
      <c r="O43" s="21">
        <f t="shared" si="3"/>
        <v>38</v>
      </c>
      <c r="P43" s="21">
        <f t="shared" si="3"/>
        <v>54</v>
      </c>
      <c r="Q43" s="21">
        <f>COUNTIF(Q37:Q42,"E")</f>
        <v>4</v>
      </c>
      <c r="R43" s="21">
        <f>COUNTIF(R37:R42,"C")</f>
        <v>2</v>
      </c>
      <c r="S43" s="21">
        <f>COUNTIF(S37:S42,"VP")</f>
        <v>0</v>
      </c>
      <c r="T43" s="22"/>
    </row>
    <row r="44" spans="1:20" ht="19.5" customHeight="1"/>
    <row r="45" spans="1:20" ht="16.5" customHeight="1">
      <c r="A45" s="98" t="s">
        <v>44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</row>
    <row r="46" spans="1:20" ht="26.25" customHeight="1">
      <c r="A46" s="202" t="s">
        <v>27</v>
      </c>
      <c r="B46" s="206" t="s">
        <v>26</v>
      </c>
      <c r="C46" s="207"/>
      <c r="D46" s="207"/>
      <c r="E46" s="207"/>
      <c r="F46" s="207"/>
      <c r="G46" s="207"/>
      <c r="H46" s="207"/>
      <c r="I46" s="208"/>
      <c r="J46" s="165" t="s">
        <v>41</v>
      </c>
      <c r="K46" s="167" t="s">
        <v>24</v>
      </c>
      <c r="L46" s="168"/>
      <c r="M46" s="169"/>
      <c r="N46" s="167" t="s">
        <v>42</v>
      </c>
      <c r="O46" s="170"/>
      <c r="P46" s="171"/>
      <c r="Q46" s="167" t="s">
        <v>23</v>
      </c>
      <c r="R46" s="168"/>
      <c r="S46" s="169"/>
      <c r="T46" s="201" t="s">
        <v>22</v>
      </c>
    </row>
    <row r="47" spans="1:20" ht="12.75" customHeight="1">
      <c r="A47" s="203"/>
      <c r="B47" s="209"/>
      <c r="C47" s="181"/>
      <c r="D47" s="181"/>
      <c r="E47" s="181"/>
      <c r="F47" s="181"/>
      <c r="G47" s="181"/>
      <c r="H47" s="181"/>
      <c r="I47" s="210"/>
      <c r="J47" s="166"/>
      <c r="K47" s="5" t="s">
        <v>28</v>
      </c>
      <c r="L47" s="5" t="s">
        <v>29</v>
      </c>
      <c r="M47" s="5" t="s">
        <v>30</v>
      </c>
      <c r="N47" s="5" t="s">
        <v>34</v>
      </c>
      <c r="O47" s="5" t="s">
        <v>7</v>
      </c>
      <c r="P47" s="5" t="s">
        <v>31</v>
      </c>
      <c r="Q47" s="5" t="s">
        <v>32</v>
      </c>
      <c r="R47" s="5" t="s">
        <v>28</v>
      </c>
      <c r="S47" s="5" t="s">
        <v>33</v>
      </c>
      <c r="T47" s="166"/>
    </row>
    <row r="48" spans="1:20">
      <c r="A48" s="48" t="s">
        <v>114</v>
      </c>
      <c r="B48" s="162" t="s">
        <v>115</v>
      </c>
      <c r="C48" s="163"/>
      <c r="D48" s="163"/>
      <c r="E48" s="163"/>
      <c r="F48" s="163"/>
      <c r="G48" s="163"/>
      <c r="H48" s="163"/>
      <c r="I48" s="164"/>
      <c r="J48" s="11">
        <v>6</v>
      </c>
      <c r="K48" s="11">
        <v>2</v>
      </c>
      <c r="L48" s="11">
        <v>1</v>
      </c>
      <c r="M48" s="11">
        <v>0</v>
      </c>
      <c r="N48" s="18">
        <f>K48+L48+M48</f>
        <v>3</v>
      </c>
      <c r="O48" s="19">
        <f>P48-N48</f>
        <v>8</v>
      </c>
      <c r="P48" s="19">
        <f>ROUND(PRODUCT(J48,25)/14,0)</f>
        <v>11</v>
      </c>
      <c r="Q48" s="24" t="s">
        <v>32</v>
      </c>
      <c r="R48" s="11"/>
      <c r="S48" s="25"/>
      <c r="T48" s="11" t="s">
        <v>39</v>
      </c>
    </row>
    <row r="49" spans="1:20">
      <c r="A49" s="48" t="s">
        <v>116</v>
      </c>
      <c r="B49" s="162" t="s">
        <v>117</v>
      </c>
      <c r="C49" s="163"/>
      <c r="D49" s="163"/>
      <c r="E49" s="163"/>
      <c r="F49" s="163"/>
      <c r="G49" s="163"/>
      <c r="H49" s="163"/>
      <c r="I49" s="164"/>
      <c r="J49" s="11">
        <v>6</v>
      </c>
      <c r="K49" s="11">
        <v>1</v>
      </c>
      <c r="L49" s="11">
        <v>2</v>
      </c>
      <c r="M49" s="11">
        <v>0</v>
      </c>
      <c r="N49" s="18">
        <f t="shared" ref="N49:N51" si="4">K49+L49+M49</f>
        <v>3</v>
      </c>
      <c r="O49" s="19">
        <f t="shared" ref="O49:O51" si="5">P49-N49</f>
        <v>8</v>
      </c>
      <c r="P49" s="19">
        <f t="shared" ref="P49:P51" si="6">ROUND(PRODUCT(J49,25)/14,0)</f>
        <v>11</v>
      </c>
      <c r="Q49" s="24" t="s">
        <v>32</v>
      </c>
      <c r="R49" s="11"/>
      <c r="S49" s="25"/>
      <c r="T49" s="11" t="s">
        <v>39</v>
      </c>
    </row>
    <row r="50" spans="1:20">
      <c r="A50" s="48" t="s">
        <v>118</v>
      </c>
      <c r="B50" s="162" t="s">
        <v>119</v>
      </c>
      <c r="C50" s="163"/>
      <c r="D50" s="163"/>
      <c r="E50" s="163"/>
      <c r="F50" s="163"/>
      <c r="G50" s="163"/>
      <c r="H50" s="163"/>
      <c r="I50" s="164"/>
      <c r="J50" s="11">
        <v>6</v>
      </c>
      <c r="K50" s="11">
        <v>1</v>
      </c>
      <c r="L50" s="11">
        <v>2</v>
      </c>
      <c r="M50" s="11">
        <v>0</v>
      </c>
      <c r="N50" s="18">
        <f t="shared" si="4"/>
        <v>3</v>
      </c>
      <c r="O50" s="19">
        <f t="shared" si="5"/>
        <v>8</v>
      </c>
      <c r="P50" s="19">
        <f t="shared" si="6"/>
        <v>11</v>
      </c>
      <c r="Q50" s="24" t="s">
        <v>32</v>
      </c>
      <c r="R50" s="11"/>
      <c r="S50" s="25"/>
      <c r="T50" s="11" t="s">
        <v>37</v>
      </c>
    </row>
    <row r="51" spans="1:20">
      <c r="A51" s="48" t="s">
        <v>120</v>
      </c>
      <c r="B51" s="162" t="s">
        <v>121</v>
      </c>
      <c r="C51" s="163"/>
      <c r="D51" s="163"/>
      <c r="E51" s="163"/>
      <c r="F51" s="163"/>
      <c r="G51" s="163"/>
      <c r="H51" s="163"/>
      <c r="I51" s="164"/>
      <c r="J51" s="11">
        <v>6</v>
      </c>
      <c r="K51" s="11">
        <v>2</v>
      </c>
      <c r="L51" s="11">
        <v>1</v>
      </c>
      <c r="M51" s="11">
        <v>0</v>
      </c>
      <c r="N51" s="18">
        <f t="shared" si="4"/>
        <v>3</v>
      </c>
      <c r="O51" s="19">
        <f t="shared" si="5"/>
        <v>8</v>
      </c>
      <c r="P51" s="19">
        <f t="shared" si="6"/>
        <v>11</v>
      </c>
      <c r="Q51" s="24" t="s">
        <v>32</v>
      </c>
      <c r="R51" s="11"/>
      <c r="S51" s="25"/>
      <c r="T51" s="11" t="s">
        <v>39</v>
      </c>
    </row>
    <row r="52" spans="1:20" ht="36">
      <c r="A52" s="51" t="s">
        <v>124</v>
      </c>
      <c r="B52" s="131" t="s">
        <v>125</v>
      </c>
      <c r="C52" s="132"/>
      <c r="D52" s="132"/>
      <c r="E52" s="132"/>
      <c r="F52" s="132"/>
      <c r="G52" s="132"/>
      <c r="H52" s="132"/>
      <c r="I52" s="133"/>
      <c r="J52" s="11">
        <v>6</v>
      </c>
      <c r="K52" s="11">
        <v>0</v>
      </c>
      <c r="L52" s="11">
        <v>0</v>
      </c>
      <c r="M52" s="11">
        <v>2</v>
      </c>
      <c r="N52" s="18">
        <f>K52+L52+M52</f>
        <v>2</v>
      </c>
      <c r="O52" s="19">
        <f>P52-N52</f>
        <v>9</v>
      </c>
      <c r="P52" s="19">
        <f>ROUND(PRODUCT(J52,25)/14,0)</f>
        <v>11</v>
      </c>
      <c r="Q52" s="24"/>
      <c r="R52" s="11" t="s">
        <v>28</v>
      </c>
      <c r="S52" s="25"/>
      <c r="T52" s="11" t="s">
        <v>39</v>
      </c>
    </row>
    <row r="53" spans="1:20">
      <c r="A53" s="21" t="s">
        <v>25</v>
      </c>
      <c r="B53" s="103"/>
      <c r="C53" s="150"/>
      <c r="D53" s="150"/>
      <c r="E53" s="150"/>
      <c r="F53" s="150"/>
      <c r="G53" s="150"/>
      <c r="H53" s="150"/>
      <c r="I53" s="104"/>
      <c r="J53" s="21">
        <f t="shared" ref="J53:P53" si="7">SUM(J48:J52)</f>
        <v>30</v>
      </c>
      <c r="K53" s="21">
        <f t="shared" si="7"/>
        <v>6</v>
      </c>
      <c r="L53" s="21">
        <f t="shared" si="7"/>
        <v>6</v>
      </c>
      <c r="M53" s="21">
        <f t="shared" si="7"/>
        <v>2</v>
      </c>
      <c r="N53" s="21">
        <f t="shared" si="7"/>
        <v>14</v>
      </c>
      <c r="O53" s="21">
        <f t="shared" si="7"/>
        <v>41</v>
      </c>
      <c r="P53" s="21">
        <f t="shared" si="7"/>
        <v>55</v>
      </c>
      <c r="Q53" s="21">
        <f>COUNTIF(Q48:Q52,"E")</f>
        <v>4</v>
      </c>
      <c r="R53" s="21">
        <f>COUNTIF(R48:R52,"C")</f>
        <v>1</v>
      </c>
      <c r="S53" s="21">
        <f>COUNTIF(S48:S52,"VP")</f>
        <v>0</v>
      </c>
      <c r="T53" s="22"/>
    </row>
    <row r="54" spans="1:20" ht="11.25" customHeight="1"/>
    <row r="55" spans="1:20">
      <c r="B55" s="8"/>
      <c r="C55" s="8"/>
      <c r="D55" s="8"/>
      <c r="E55" s="8"/>
      <c r="F55" s="8"/>
      <c r="G55" s="8"/>
      <c r="M55" s="8"/>
      <c r="N55" s="8"/>
      <c r="O55" s="8"/>
      <c r="P55" s="8"/>
      <c r="Q55" s="8"/>
      <c r="R55" s="8"/>
      <c r="S55" s="8"/>
    </row>
    <row r="57" spans="1:20" ht="18" customHeight="1">
      <c r="A57" s="98" t="s">
        <v>45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</row>
    <row r="58" spans="1:20" ht="25.5" customHeight="1">
      <c r="A58" s="202" t="s">
        <v>27</v>
      </c>
      <c r="B58" s="206" t="s">
        <v>26</v>
      </c>
      <c r="C58" s="207"/>
      <c r="D58" s="207"/>
      <c r="E58" s="207"/>
      <c r="F58" s="207"/>
      <c r="G58" s="207"/>
      <c r="H58" s="207"/>
      <c r="I58" s="208"/>
      <c r="J58" s="165" t="s">
        <v>41</v>
      </c>
      <c r="K58" s="167" t="s">
        <v>24</v>
      </c>
      <c r="L58" s="168"/>
      <c r="M58" s="169"/>
      <c r="N58" s="167" t="s">
        <v>42</v>
      </c>
      <c r="O58" s="170"/>
      <c r="P58" s="171"/>
      <c r="Q58" s="167" t="s">
        <v>23</v>
      </c>
      <c r="R58" s="168"/>
      <c r="S58" s="169"/>
      <c r="T58" s="201" t="s">
        <v>22</v>
      </c>
    </row>
    <row r="59" spans="1:20" ht="16.5" customHeight="1">
      <c r="A59" s="203"/>
      <c r="B59" s="209"/>
      <c r="C59" s="181"/>
      <c r="D59" s="181"/>
      <c r="E59" s="181"/>
      <c r="F59" s="181"/>
      <c r="G59" s="181"/>
      <c r="H59" s="181"/>
      <c r="I59" s="210"/>
      <c r="J59" s="166"/>
      <c r="K59" s="5" t="s">
        <v>28</v>
      </c>
      <c r="L59" s="5" t="s">
        <v>29</v>
      </c>
      <c r="M59" s="5" t="s">
        <v>30</v>
      </c>
      <c r="N59" s="5" t="s">
        <v>34</v>
      </c>
      <c r="O59" s="5" t="s">
        <v>7</v>
      </c>
      <c r="P59" s="5" t="s">
        <v>31</v>
      </c>
      <c r="Q59" s="5" t="s">
        <v>32</v>
      </c>
      <c r="R59" s="5" t="s">
        <v>28</v>
      </c>
      <c r="S59" s="5" t="s">
        <v>33</v>
      </c>
      <c r="T59" s="166"/>
    </row>
    <row r="60" spans="1:20">
      <c r="A60" s="48" t="s">
        <v>126</v>
      </c>
      <c r="B60" s="162" t="s">
        <v>127</v>
      </c>
      <c r="C60" s="163"/>
      <c r="D60" s="163"/>
      <c r="E60" s="163"/>
      <c r="F60" s="163"/>
      <c r="G60" s="163"/>
      <c r="H60" s="163"/>
      <c r="I60" s="164"/>
      <c r="J60" s="11">
        <v>5</v>
      </c>
      <c r="K60" s="11">
        <v>1</v>
      </c>
      <c r="L60" s="11">
        <v>1</v>
      </c>
      <c r="M60" s="11">
        <v>0</v>
      </c>
      <c r="N60" s="18">
        <f>K60+L60+M60</f>
        <v>2</v>
      </c>
      <c r="O60" s="19">
        <f>P60-N60</f>
        <v>7</v>
      </c>
      <c r="P60" s="19">
        <f>ROUND(PRODUCT(J60,25)/14,0)</f>
        <v>9</v>
      </c>
      <c r="Q60" s="24" t="s">
        <v>32</v>
      </c>
      <c r="R60" s="11"/>
      <c r="S60" s="25"/>
      <c r="T60" s="11" t="s">
        <v>39</v>
      </c>
    </row>
    <row r="61" spans="1:20">
      <c r="A61" s="48" t="s">
        <v>128</v>
      </c>
      <c r="B61" s="162" t="s">
        <v>129</v>
      </c>
      <c r="C61" s="163"/>
      <c r="D61" s="163"/>
      <c r="E61" s="163"/>
      <c r="F61" s="163"/>
      <c r="G61" s="163"/>
      <c r="H61" s="163"/>
      <c r="I61" s="164"/>
      <c r="J61" s="11">
        <v>5</v>
      </c>
      <c r="K61" s="11">
        <v>2</v>
      </c>
      <c r="L61" s="11">
        <v>1</v>
      </c>
      <c r="M61" s="11">
        <v>0</v>
      </c>
      <c r="N61" s="18">
        <f t="shared" ref="N61:N65" si="8">K61+L61+M61</f>
        <v>3</v>
      </c>
      <c r="O61" s="19">
        <f t="shared" ref="O61:O65" si="9">P61-N61</f>
        <v>6</v>
      </c>
      <c r="P61" s="19">
        <f t="shared" ref="P61:P65" si="10">ROUND(PRODUCT(J61,25)/14,0)</f>
        <v>9</v>
      </c>
      <c r="Q61" s="24" t="s">
        <v>32</v>
      </c>
      <c r="R61" s="11"/>
      <c r="S61" s="25"/>
      <c r="T61" s="11" t="s">
        <v>37</v>
      </c>
    </row>
    <row r="62" spans="1:20">
      <c r="A62" s="48" t="s">
        <v>130</v>
      </c>
      <c r="B62" s="162" t="s">
        <v>131</v>
      </c>
      <c r="C62" s="163"/>
      <c r="D62" s="163"/>
      <c r="E62" s="163"/>
      <c r="F62" s="163"/>
      <c r="G62" s="163"/>
      <c r="H62" s="163"/>
      <c r="I62" s="164"/>
      <c r="J62" s="11">
        <v>5</v>
      </c>
      <c r="K62" s="11">
        <v>1</v>
      </c>
      <c r="L62" s="11">
        <v>2</v>
      </c>
      <c r="M62" s="11">
        <v>0</v>
      </c>
      <c r="N62" s="18">
        <f t="shared" si="8"/>
        <v>3</v>
      </c>
      <c r="O62" s="19">
        <f t="shared" si="9"/>
        <v>6</v>
      </c>
      <c r="P62" s="19">
        <f t="shared" si="10"/>
        <v>9</v>
      </c>
      <c r="Q62" s="24" t="s">
        <v>32</v>
      </c>
      <c r="R62" s="11"/>
      <c r="S62" s="25"/>
      <c r="T62" s="11" t="s">
        <v>39</v>
      </c>
    </row>
    <row r="63" spans="1:20" ht="36">
      <c r="A63" s="51" t="s">
        <v>132</v>
      </c>
      <c r="B63" s="131" t="s">
        <v>133</v>
      </c>
      <c r="C63" s="132"/>
      <c r="D63" s="132"/>
      <c r="E63" s="132"/>
      <c r="F63" s="132"/>
      <c r="G63" s="132"/>
      <c r="H63" s="132"/>
      <c r="I63" s="133"/>
      <c r="J63" s="11">
        <v>5</v>
      </c>
      <c r="K63" s="11">
        <v>1</v>
      </c>
      <c r="L63" s="11">
        <v>1</v>
      </c>
      <c r="M63" s="11">
        <v>0</v>
      </c>
      <c r="N63" s="18">
        <f t="shared" si="8"/>
        <v>2</v>
      </c>
      <c r="O63" s="19">
        <f t="shared" si="9"/>
        <v>7</v>
      </c>
      <c r="P63" s="19">
        <f t="shared" si="10"/>
        <v>9</v>
      </c>
      <c r="Q63" s="24"/>
      <c r="R63" s="11" t="s">
        <v>28</v>
      </c>
      <c r="S63" s="25"/>
      <c r="T63" s="11" t="s">
        <v>40</v>
      </c>
    </row>
    <row r="64" spans="1:20">
      <c r="A64" s="48" t="s">
        <v>134</v>
      </c>
      <c r="B64" s="162" t="s">
        <v>135</v>
      </c>
      <c r="C64" s="163"/>
      <c r="D64" s="163"/>
      <c r="E64" s="163"/>
      <c r="F64" s="163"/>
      <c r="G64" s="163"/>
      <c r="H64" s="163"/>
      <c r="I64" s="164"/>
      <c r="J64" s="11">
        <v>5</v>
      </c>
      <c r="K64" s="11">
        <v>2</v>
      </c>
      <c r="L64" s="11">
        <v>1</v>
      </c>
      <c r="M64" s="11">
        <v>0</v>
      </c>
      <c r="N64" s="18">
        <f t="shared" si="8"/>
        <v>3</v>
      </c>
      <c r="O64" s="19">
        <f t="shared" si="9"/>
        <v>6</v>
      </c>
      <c r="P64" s="19">
        <f t="shared" si="10"/>
        <v>9</v>
      </c>
      <c r="Q64" s="24" t="s">
        <v>32</v>
      </c>
      <c r="R64" s="11"/>
      <c r="S64" s="25"/>
      <c r="T64" s="11" t="s">
        <v>39</v>
      </c>
    </row>
    <row r="65" spans="1:20">
      <c r="A65" s="48" t="s">
        <v>136</v>
      </c>
      <c r="B65" s="162" t="s">
        <v>137</v>
      </c>
      <c r="C65" s="163"/>
      <c r="D65" s="163"/>
      <c r="E65" s="163"/>
      <c r="F65" s="163"/>
      <c r="G65" s="163"/>
      <c r="H65" s="163"/>
      <c r="I65" s="164"/>
      <c r="J65" s="11">
        <v>5</v>
      </c>
      <c r="K65" s="11">
        <v>2</v>
      </c>
      <c r="L65" s="11">
        <v>1</v>
      </c>
      <c r="M65" s="11">
        <v>0</v>
      </c>
      <c r="N65" s="18">
        <f t="shared" si="8"/>
        <v>3</v>
      </c>
      <c r="O65" s="19">
        <f t="shared" si="9"/>
        <v>6</v>
      </c>
      <c r="P65" s="19">
        <f t="shared" si="10"/>
        <v>9</v>
      </c>
      <c r="Q65" s="24" t="s">
        <v>32</v>
      </c>
      <c r="R65" s="11"/>
      <c r="S65" s="25"/>
      <c r="T65" s="11" t="s">
        <v>39</v>
      </c>
    </row>
    <row r="66" spans="1:20">
      <c r="A66" s="21" t="s">
        <v>25</v>
      </c>
      <c r="B66" s="103"/>
      <c r="C66" s="150"/>
      <c r="D66" s="150"/>
      <c r="E66" s="150"/>
      <c r="F66" s="150"/>
      <c r="G66" s="150"/>
      <c r="H66" s="150"/>
      <c r="I66" s="104"/>
      <c r="J66" s="21">
        <f t="shared" ref="J66:P66" si="11">SUM(J60:J65)</f>
        <v>30</v>
      </c>
      <c r="K66" s="21">
        <f t="shared" si="11"/>
        <v>9</v>
      </c>
      <c r="L66" s="21">
        <f t="shared" si="11"/>
        <v>7</v>
      </c>
      <c r="M66" s="21">
        <f t="shared" si="11"/>
        <v>0</v>
      </c>
      <c r="N66" s="21">
        <f t="shared" si="11"/>
        <v>16</v>
      </c>
      <c r="O66" s="21">
        <f t="shared" si="11"/>
        <v>38</v>
      </c>
      <c r="P66" s="21">
        <f t="shared" si="11"/>
        <v>54</v>
      </c>
      <c r="Q66" s="21">
        <f>COUNTIF(Q60:Q65,"E")</f>
        <v>5</v>
      </c>
      <c r="R66" s="21">
        <f>COUNTIF(R60:R65,"C")</f>
        <v>1</v>
      </c>
      <c r="S66" s="21">
        <f>COUNTIF(S60:S65,"VP")</f>
        <v>0</v>
      </c>
      <c r="T66" s="22"/>
    </row>
    <row r="67" spans="1:20" ht="15" customHeight="1"/>
    <row r="68" spans="1:20" ht="18.75" customHeight="1">
      <c r="A68" s="98" t="s">
        <v>46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</row>
    <row r="69" spans="1:20" ht="24.75" customHeight="1">
      <c r="A69" s="202" t="s">
        <v>27</v>
      </c>
      <c r="B69" s="206" t="s">
        <v>26</v>
      </c>
      <c r="C69" s="207"/>
      <c r="D69" s="207"/>
      <c r="E69" s="207"/>
      <c r="F69" s="207"/>
      <c r="G69" s="207"/>
      <c r="H69" s="207"/>
      <c r="I69" s="208"/>
      <c r="J69" s="165" t="s">
        <v>41</v>
      </c>
      <c r="K69" s="167" t="s">
        <v>24</v>
      </c>
      <c r="L69" s="168"/>
      <c r="M69" s="169"/>
      <c r="N69" s="167" t="s">
        <v>42</v>
      </c>
      <c r="O69" s="170"/>
      <c r="P69" s="171"/>
      <c r="Q69" s="167" t="s">
        <v>23</v>
      </c>
      <c r="R69" s="168"/>
      <c r="S69" s="169"/>
      <c r="T69" s="201" t="s">
        <v>22</v>
      </c>
    </row>
    <row r="70" spans="1:20">
      <c r="A70" s="203"/>
      <c r="B70" s="209"/>
      <c r="C70" s="181"/>
      <c r="D70" s="181"/>
      <c r="E70" s="181"/>
      <c r="F70" s="181"/>
      <c r="G70" s="181"/>
      <c r="H70" s="181"/>
      <c r="I70" s="210"/>
      <c r="J70" s="166"/>
      <c r="K70" s="5" t="s">
        <v>28</v>
      </c>
      <c r="L70" s="5" t="s">
        <v>29</v>
      </c>
      <c r="M70" s="5" t="s">
        <v>30</v>
      </c>
      <c r="N70" s="5" t="s">
        <v>34</v>
      </c>
      <c r="O70" s="5" t="s">
        <v>7</v>
      </c>
      <c r="P70" s="5" t="s">
        <v>31</v>
      </c>
      <c r="Q70" s="5" t="s">
        <v>32</v>
      </c>
      <c r="R70" s="5" t="s">
        <v>28</v>
      </c>
      <c r="S70" s="5" t="s">
        <v>33</v>
      </c>
      <c r="T70" s="166"/>
    </row>
    <row r="71" spans="1:20">
      <c r="A71" s="57" t="s">
        <v>138</v>
      </c>
      <c r="B71" s="219" t="s">
        <v>139</v>
      </c>
      <c r="C71" s="220"/>
      <c r="D71" s="220"/>
      <c r="E71" s="220"/>
      <c r="F71" s="220"/>
      <c r="G71" s="220"/>
      <c r="H71" s="220"/>
      <c r="I71" s="221"/>
      <c r="J71" s="11">
        <v>5</v>
      </c>
      <c r="K71" s="11">
        <v>2</v>
      </c>
      <c r="L71" s="11">
        <v>2</v>
      </c>
      <c r="M71" s="11">
        <v>0</v>
      </c>
      <c r="N71" s="18">
        <f>K71+L71+M71</f>
        <v>4</v>
      </c>
      <c r="O71" s="19">
        <f>P71-N71</f>
        <v>6</v>
      </c>
      <c r="P71" s="19">
        <f>ROUND(PRODUCT(J71,25)/12,0)</f>
        <v>10</v>
      </c>
      <c r="Q71" s="24" t="s">
        <v>32</v>
      </c>
      <c r="R71" s="11"/>
      <c r="S71" s="25"/>
      <c r="T71" s="11" t="s">
        <v>39</v>
      </c>
    </row>
    <row r="72" spans="1:20" s="55" customFormat="1">
      <c r="A72" s="57" t="s">
        <v>122</v>
      </c>
      <c r="B72" s="219" t="s">
        <v>123</v>
      </c>
      <c r="C72" s="220"/>
      <c r="D72" s="220"/>
      <c r="E72" s="220"/>
      <c r="F72" s="220"/>
      <c r="G72" s="220"/>
      <c r="H72" s="220"/>
      <c r="I72" s="221"/>
      <c r="J72" s="11">
        <v>4</v>
      </c>
      <c r="K72" s="11">
        <v>2</v>
      </c>
      <c r="L72" s="11">
        <v>0</v>
      </c>
      <c r="M72" s="11">
        <v>0</v>
      </c>
      <c r="N72" s="56">
        <f>K72+L72+M72</f>
        <v>2</v>
      </c>
      <c r="O72" s="19">
        <f>P72-N72</f>
        <v>6</v>
      </c>
      <c r="P72" s="19">
        <f>ROUND(PRODUCT(J72,25)/12,0)</f>
        <v>8</v>
      </c>
      <c r="Q72" s="24" t="s">
        <v>32</v>
      </c>
      <c r="R72" s="11"/>
      <c r="S72" s="25"/>
      <c r="T72" s="11" t="s">
        <v>39</v>
      </c>
    </row>
    <row r="73" spans="1:20">
      <c r="A73" s="57" t="s">
        <v>140</v>
      </c>
      <c r="B73" s="219" t="s">
        <v>141</v>
      </c>
      <c r="C73" s="220"/>
      <c r="D73" s="220"/>
      <c r="E73" s="220"/>
      <c r="F73" s="220"/>
      <c r="G73" s="220"/>
      <c r="H73" s="220"/>
      <c r="I73" s="221"/>
      <c r="J73" s="11">
        <v>3</v>
      </c>
      <c r="K73" s="11">
        <v>2</v>
      </c>
      <c r="L73" s="11">
        <v>1</v>
      </c>
      <c r="M73" s="11">
        <v>0</v>
      </c>
      <c r="N73" s="18">
        <f t="shared" ref="N73:N75" si="12">K73+L73+M73</f>
        <v>3</v>
      </c>
      <c r="O73" s="19">
        <f t="shared" ref="O73:O75" si="13">P73-N73</f>
        <v>3</v>
      </c>
      <c r="P73" s="19">
        <f t="shared" ref="P73:P75" si="14">ROUND(PRODUCT(J73,25)/12,0)</f>
        <v>6</v>
      </c>
      <c r="Q73" s="24" t="s">
        <v>32</v>
      </c>
      <c r="R73" s="11"/>
      <c r="S73" s="25"/>
      <c r="T73" s="11" t="s">
        <v>39</v>
      </c>
    </row>
    <row r="74" spans="1:20" s="59" customFormat="1" ht="24">
      <c r="A74" s="51" t="s">
        <v>144</v>
      </c>
      <c r="B74" s="162" t="s">
        <v>143</v>
      </c>
      <c r="C74" s="163"/>
      <c r="D74" s="163"/>
      <c r="E74" s="163"/>
      <c r="F74" s="163"/>
      <c r="G74" s="163"/>
      <c r="H74" s="163"/>
      <c r="I74" s="164"/>
      <c r="J74" s="11">
        <v>9</v>
      </c>
      <c r="K74" s="11">
        <v>0</v>
      </c>
      <c r="L74" s="11">
        <v>0</v>
      </c>
      <c r="M74" s="11">
        <v>3</v>
      </c>
      <c r="N74" s="60">
        <f t="shared" ref="N74" si="15">K74+L74+M74</f>
        <v>3</v>
      </c>
      <c r="O74" s="19">
        <f t="shared" ref="O74" si="16">P74-N74</f>
        <v>16</v>
      </c>
      <c r="P74" s="19">
        <f t="shared" ref="P74" si="17">ROUND(PRODUCT(J74,25)/12,0)</f>
        <v>19</v>
      </c>
      <c r="Q74" s="24"/>
      <c r="R74" s="11" t="s">
        <v>28</v>
      </c>
      <c r="S74" s="25"/>
      <c r="T74" s="11" t="s">
        <v>39</v>
      </c>
    </row>
    <row r="75" spans="1:20" ht="13.5" customHeight="1">
      <c r="A75" s="48" t="s">
        <v>142</v>
      </c>
      <c r="B75" s="162" t="s">
        <v>170</v>
      </c>
      <c r="C75" s="163"/>
      <c r="D75" s="163"/>
      <c r="E75" s="163"/>
      <c r="F75" s="163"/>
      <c r="G75" s="163"/>
      <c r="H75" s="163"/>
      <c r="I75" s="164"/>
      <c r="J75" s="11">
        <v>9</v>
      </c>
      <c r="K75" s="11">
        <v>0</v>
      </c>
      <c r="L75" s="11">
        <v>0</v>
      </c>
      <c r="M75" s="11">
        <v>3</v>
      </c>
      <c r="N75" s="18">
        <f t="shared" si="12"/>
        <v>3</v>
      </c>
      <c r="O75" s="19">
        <f t="shared" si="13"/>
        <v>16</v>
      </c>
      <c r="P75" s="19">
        <f t="shared" si="14"/>
        <v>19</v>
      </c>
      <c r="Q75" s="24"/>
      <c r="R75" s="11"/>
      <c r="S75" s="25" t="s">
        <v>33</v>
      </c>
      <c r="T75" s="11" t="s">
        <v>39</v>
      </c>
    </row>
    <row r="76" spans="1:20">
      <c r="A76" s="21" t="s">
        <v>25</v>
      </c>
      <c r="B76" s="103"/>
      <c r="C76" s="150"/>
      <c r="D76" s="150"/>
      <c r="E76" s="150"/>
      <c r="F76" s="150"/>
      <c r="G76" s="150"/>
      <c r="H76" s="150"/>
      <c r="I76" s="104"/>
      <c r="J76" s="21">
        <f t="shared" ref="J76:P76" si="18">SUM(J71:J75)</f>
        <v>30</v>
      </c>
      <c r="K76" s="21">
        <f t="shared" si="18"/>
        <v>6</v>
      </c>
      <c r="L76" s="21">
        <f t="shared" si="18"/>
        <v>3</v>
      </c>
      <c r="M76" s="21">
        <f t="shared" si="18"/>
        <v>6</v>
      </c>
      <c r="N76" s="21">
        <f t="shared" si="18"/>
        <v>15</v>
      </c>
      <c r="O76" s="21">
        <f t="shared" si="18"/>
        <v>47</v>
      </c>
      <c r="P76" s="21">
        <f t="shared" si="18"/>
        <v>62</v>
      </c>
      <c r="Q76" s="21">
        <f>COUNTIF(Q71:Q75,"E")</f>
        <v>3</v>
      </c>
      <c r="R76" s="21">
        <f>COUNTIF(R71:R75,"C")</f>
        <v>1</v>
      </c>
      <c r="S76" s="21">
        <f>COUNTIF(S71:S75,"VP")</f>
        <v>1</v>
      </c>
      <c r="T76" s="22"/>
    </row>
    <row r="77" spans="1:20" ht="9" customHeight="1"/>
    <row r="79" spans="1:20" ht="19.5" customHeight="1">
      <c r="A79" s="187" t="s">
        <v>47</v>
      </c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</row>
    <row r="80" spans="1:20" ht="27.75" customHeight="1">
      <c r="A80" s="202" t="s">
        <v>27</v>
      </c>
      <c r="B80" s="206" t="s">
        <v>26</v>
      </c>
      <c r="C80" s="207"/>
      <c r="D80" s="207"/>
      <c r="E80" s="207"/>
      <c r="F80" s="207"/>
      <c r="G80" s="207"/>
      <c r="H80" s="207"/>
      <c r="I80" s="208"/>
      <c r="J80" s="165" t="s">
        <v>41</v>
      </c>
      <c r="K80" s="224" t="s">
        <v>24</v>
      </c>
      <c r="L80" s="224"/>
      <c r="M80" s="224"/>
      <c r="N80" s="224" t="s">
        <v>42</v>
      </c>
      <c r="O80" s="225"/>
      <c r="P80" s="225"/>
      <c r="Q80" s="224" t="s">
        <v>23</v>
      </c>
      <c r="R80" s="224"/>
      <c r="S80" s="224"/>
      <c r="T80" s="224" t="s">
        <v>22</v>
      </c>
    </row>
    <row r="81" spans="1:20" ht="12.75" customHeight="1">
      <c r="A81" s="203"/>
      <c r="B81" s="209"/>
      <c r="C81" s="181"/>
      <c r="D81" s="181"/>
      <c r="E81" s="181"/>
      <c r="F81" s="181"/>
      <c r="G81" s="181"/>
      <c r="H81" s="181"/>
      <c r="I81" s="210"/>
      <c r="J81" s="166"/>
      <c r="K81" s="5" t="s">
        <v>28</v>
      </c>
      <c r="L81" s="5" t="s">
        <v>29</v>
      </c>
      <c r="M81" s="5" t="s">
        <v>30</v>
      </c>
      <c r="N81" s="5" t="s">
        <v>34</v>
      </c>
      <c r="O81" s="5" t="s">
        <v>7</v>
      </c>
      <c r="P81" s="5" t="s">
        <v>31</v>
      </c>
      <c r="Q81" s="5" t="s">
        <v>32</v>
      </c>
      <c r="R81" s="5" t="s">
        <v>28</v>
      </c>
      <c r="S81" s="5" t="s">
        <v>33</v>
      </c>
      <c r="T81" s="224"/>
    </row>
    <row r="82" spans="1:20">
      <c r="A82" s="172" t="s">
        <v>145</v>
      </c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4"/>
    </row>
    <row r="83" spans="1:20">
      <c r="A83" s="58" t="s">
        <v>168</v>
      </c>
      <c r="B83" s="175" t="s">
        <v>156</v>
      </c>
      <c r="C83" s="176"/>
      <c r="D83" s="176"/>
      <c r="E83" s="176"/>
      <c r="F83" s="176"/>
      <c r="G83" s="176"/>
      <c r="H83" s="176"/>
      <c r="I83" s="177"/>
      <c r="J83" s="26">
        <v>5</v>
      </c>
      <c r="K83" s="26">
        <v>2</v>
      </c>
      <c r="L83" s="26">
        <v>1</v>
      </c>
      <c r="M83" s="26">
        <v>0</v>
      </c>
      <c r="N83" s="19">
        <f>K83+L83+M83</f>
        <v>3</v>
      </c>
      <c r="O83" s="19">
        <f>P83-N83</f>
        <v>6</v>
      </c>
      <c r="P83" s="19">
        <f>ROUND(PRODUCT(J83,25)/14,0)</f>
        <v>9</v>
      </c>
      <c r="Q83" s="26" t="s">
        <v>32</v>
      </c>
      <c r="R83" s="26"/>
      <c r="S83" s="27"/>
      <c r="T83" s="11" t="s">
        <v>39</v>
      </c>
    </row>
    <row r="84" spans="1:20">
      <c r="A84" s="57" t="s">
        <v>146</v>
      </c>
      <c r="B84" s="175" t="s">
        <v>147</v>
      </c>
      <c r="C84" s="176"/>
      <c r="D84" s="176"/>
      <c r="E84" s="176"/>
      <c r="F84" s="176"/>
      <c r="G84" s="176"/>
      <c r="H84" s="176"/>
      <c r="I84" s="177"/>
      <c r="J84" s="26">
        <v>5</v>
      </c>
      <c r="K84" s="26">
        <v>2</v>
      </c>
      <c r="L84" s="26">
        <v>1</v>
      </c>
      <c r="M84" s="26">
        <v>0</v>
      </c>
      <c r="N84" s="19">
        <f t="shared" ref="N84" si="19">K84+L84+M84</f>
        <v>3</v>
      </c>
      <c r="O84" s="19">
        <f t="shared" ref="O84" si="20">P84-N84</f>
        <v>6</v>
      </c>
      <c r="P84" s="19">
        <f t="shared" ref="P84" si="21">ROUND(PRODUCT(J84,25)/14,0)</f>
        <v>9</v>
      </c>
      <c r="Q84" s="26" t="s">
        <v>32</v>
      </c>
      <c r="R84" s="26"/>
      <c r="S84" s="27"/>
      <c r="T84" s="11" t="s">
        <v>39</v>
      </c>
    </row>
    <row r="85" spans="1:20">
      <c r="A85" s="58" t="s">
        <v>159</v>
      </c>
      <c r="B85" s="175" t="s">
        <v>169</v>
      </c>
      <c r="C85" s="176"/>
      <c r="D85" s="176"/>
      <c r="E85" s="176"/>
      <c r="F85" s="176"/>
      <c r="G85" s="176"/>
      <c r="H85" s="176"/>
      <c r="I85" s="177"/>
      <c r="J85" s="26">
        <v>5</v>
      </c>
      <c r="K85" s="26">
        <v>2</v>
      </c>
      <c r="L85" s="26">
        <v>1</v>
      </c>
      <c r="M85" s="26">
        <v>0</v>
      </c>
      <c r="N85" s="19">
        <f t="shared" ref="N85:N87" si="22">K85+L85+M85</f>
        <v>3</v>
      </c>
      <c r="O85" s="19">
        <f t="shared" ref="O85:O87" si="23">P85-N85</f>
        <v>6</v>
      </c>
      <c r="P85" s="19">
        <f t="shared" ref="P85:P87" si="24">ROUND(PRODUCT(J85,25)/14,0)</f>
        <v>9</v>
      </c>
      <c r="Q85" s="26" t="s">
        <v>32</v>
      </c>
      <c r="R85" s="26"/>
      <c r="S85" s="27"/>
      <c r="T85" s="11" t="s">
        <v>39</v>
      </c>
    </row>
    <row r="86" spans="1:20">
      <c r="A86" s="48" t="s">
        <v>150</v>
      </c>
      <c r="B86" s="178" t="s">
        <v>151</v>
      </c>
      <c r="C86" s="179"/>
      <c r="D86" s="179"/>
      <c r="E86" s="179"/>
      <c r="F86" s="179"/>
      <c r="G86" s="179"/>
      <c r="H86" s="179"/>
      <c r="I86" s="180"/>
      <c r="J86" s="26">
        <v>5</v>
      </c>
      <c r="K86" s="26">
        <v>2</v>
      </c>
      <c r="L86" s="26">
        <v>1</v>
      </c>
      <c r="M86" s="26">
        <v>0</v>
      </c>
      <c r="N86" s="19">
        <f t="shared" si="22"/>
        <v>3</v>
      </c>
      <c r="O86" s="19">
        <f t="shared" si="23"/>
        <v>6</v>
      </c>
      <c r="P86" s="19">
        <f t="shared" si="24"/>
        <v>9</v>
      </c>
      <c r="Q86" s="26" t="s">
        <v>32</v>
      </c>
      <c r="R86" s="26"/>
      <c r="S86" s="27"/>
      <c r="T86" s="11" t="s">
        <v>39</v>
      </c>
    </row>
    <row r="87" spans="1:20">
      <c r="A87" s="57" t="s">
        <v>157</v>
      </c>
      <c r="B87" s="175" t="s">
        <v>158</v>
      </c>
      <c r="C87" s="176"/>
      <c r="D87" s="176"/>
      <c r="E87" s="176"/>
      <c r="F87" s="176"/>
      <c r="G87" s="176"/>
      <c r="H87" s="176"/>
      <c r="I87" s="177"/>
      <c r="J87" s="26">
        <v>5</v>
      </c>
      <c r="K87" s="26">
        <v>2</v>
      </c>
      <c r="L87" s="26">
        <v>1</v>
      </c>
      <c r="M87" s="26">
        <v>0</v>
      </c>
      <c r="N87" s="19">
        <f t="shared" si="22"/>
        <v>3</v>
      </c>
      <c r="O87" s="19">
        <f t="shared" si="23"/>
        <v>6</v>
      </c>
      <c r="P87" s="19">
        <f t="shared" si="24"/>
        <v>9</v>
      </c>
      <c r="Q87" s="26" t="s">
        <v>32</v>
      </c>
      <c r="R87" s="26"/>
      <c r="S87" s="27"/>
      <c r="T87" s="11" t="s">
        <v>39</v>
      </c>
    </row>
    <row r="88" spans="1:20">
      <c r="A88" s="57" t="s">
        <v>154</v>
      </c>
      <c r="B88" s="175" t="s">
        <v>155</v>
      </c>
      <c r="C88" s="176"/>
      <c r="D88" s="176"/>
      <c r="E88" s="176"/>
      <c r="F88" s="176"/>
      <c r="G88" s="176"/>
      <c r="H88" s="176"/>
      <c r="I88" s="177"/>
      <c r="J88" s="52">
        <v>5</v>
      </c>
      <c r="K88" s="52">
        <v>2</v>
      </c>
      <c r="L88" s="52">
        <v>1</v>
      </c>
      <c r="M88" s="52">
        <v>0</v>
      </c>
      <c r="N88" s="19">
        <f>K88+L88+M88</f>
        <v>3</v>
      </c>
      <c r="O88" s="19">
        <f>P88-N88</f>
        <v>6</v>
      </c>
      <c r="P88" s="19">
        <f>ROUND(PRODUCT(J88,25)/14,0)</f>
        <v>9</v>
      </c>
      <c r="Q88" s="26" t="s">
        <v>32</v>
      </c>
      <c r="R88" s="26"/>
      <c r="S88" s="27"/>
      <c r="T88" s="11" t="s">
        <v>39</v>
      </c>
    </row>
    <row r="89" spans="1:20" ht="17.25" customHeight="1">
      <c r="A89" s="74" t="s">
        <v>166</v>
      </c>
      <c r="B89" s="222"/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3"/>
    </row>
    <row r="90" spans="1:20">
      <c r="A90" s="57" t="s">
        <v>152</v>
      </c>
      <c r="B90" s="175" t="s">
        <v>153</v>
      </c>
      <c r="C90" s="176"/>
      <c r="D90" s="176"/>
      <c r="E90" s="176"/>
      <c r="F90" s="176"/>
      <c r="G90" s="176"/>
      <c r="H90" s="176"/>
      <c r="I90" s="177"/>
      <c r="J90" s="26">
        <v>3</v>
      </c>
      <c r="K90" s="26">
        <v>2</v>
      </c>
      <c r="L90" s="26">
        <v>1</v>
      </c>
      <c r="M90" s="26">
        <v>0</v>
      </c>
      <c r="N90" s="19">
        <f t="shared" ref="N90:N94" si="25">K90+L90+M90</f>
        <v>3</v>
      </c>
      <c r="O90" s="19">
        <f t="shared" ref="O90:O94" si="26">P90-N90</f>
        <v>3</v>
      </c>
      <c r="P90" s="19">
        <f t="shared" ref="P90:P94" si="27">ROUND(PRODUCT(J90,25)/12,0)</f>
        <v>6</v>
      </c>
      <c r="Q90" s="26" t="s">
        <v>32</v>
      </c>
      <c r="R90" s="26"/>
      <c r="S90" s="27"/>
      <c r="T90" s="11" t="s">
        <v>39</v>
      </c>
    </row>
    <row r="91" spans="1:20">
      <c r="A91" s="57" t="s">
        <v>148</v>
      </c>
      <c r="B91" s="175" t="s">
        <v>149</v>
      </c>
      <c r="C91" s="176"/>
      <c r="D91" s="176"/>
      <c r="E91" s="176"/>
      <c r="F91" s="176"/>
      <c r="G91" s="176"/>
      <c r="H91" s="176"/>
      <c r="I91" s="177"/>
      <c r="J91" s="26">
        <v>3</v>
      </c>
      <c r="K91" s="26">
        <v>2</v>
      </c>
      <c r="L91" s="26">
        <v>1</v>
      </c>
      <c r="M91" s="26">
        <v>0</v>
      </c>
      <c r="N91" s="19">
        <f t="shared" si="25"/>
        <v>3</v>
      </c>
      <c r="O91" s="19">
        <f t="shared" si="26"/>
        <v>3</v>
      </c>
      <c r="P91" s="19">
        <f t="shared" si="27"/>
        <v>6</v>
      </c>
      <c r="Q91" s="26" t="s">
        <v>32</v>
      </c>
      <c r="R91" s="26"/>
      <c r="S91" s="27"/>
      <c r="T91" s="11" t="s">
        <v>39</v>
      </c>
    </row>
    <row r="92" spans="1:20">
      <c r="A92" s="48" t="s">
        <v>160</v>
      </c>
      <c r="B92" s="178" t="s">
        <v>161</v>
      </c>
      <c r="C92" s="179"/>
      <c r="D92" s="179"/>
      <c r="E92" s="179"/>
      <c r="F92" s="179"/>
      <c r="G92" s="179"/>
      <c r="H92" s="179"/>
      <c r="I92" s="180"/>
      <c r="J92" s="26">
        <v>3</v>
      </c>
      <c r="K92" s="26">
        <v>2</v>
      </c>
      <c r="L92" s="26">
        <v>1</v>
      </c>
      <c r="M92" s="26">
        <v>0</v>
      </c>
      <c r="N92" s="19">
        <f t="shared" si="25"/>
        <v>3</v>
      </c>
      <c r="O92" s="19">
        <f t="shared" si="26"/>
        <v>3</v>
      </c>
      <c r="P92" s="19">
        <f t="shared" si="27"/>
        <v>6</v>
      </c>
      <c r="Q92" s="26" t="s">
        <v>32</v>
      </c>
      <c r="R92" s="26"/>
      <c r="S92" s="27"/>
      <c r="T92" s="11" t="s">
        <v>39</v>
      </c>
    </row>
    <row r="93" spans="1:20">
      <c r="A93" s="48" t="s">
        <v>162</v>
      </c>
      <c r="B93" s="178" t="s">
        <v>163</v>
      </c>
      <c r="C93" s="179"/>
      <c r="D93" s="179"/>
      <c r="E93" s="179"/>
      <c r="F93" s="179"/>
      <c r="G93" s="179"/>
      <c r="H93" s="179"/>
      <c r="I93" s="180"/>
      <c r="J93" s="26">
        <v>3</v>
      </c>
      <c r="K93" s="26">
        <v>2</v>
      </c>
      <c r="L93" s="26">
        <v>1</v>
      </c>
      <c r="M93" s="26">
        <v>0</v>
      </c>
      <c r="N93" s="19">
        <f t="shared" si="25"/>
        <v>3</v>
      </c>
      <c r="O93" s="19">
        <f t="shared" si="26"/>
        <v>3</v>
      </c>
      <c r="P93" s="19">
        <f t="shared" si="27"/>
        <v>6</v>
      </c>
      <c r="Q93" s="26" t="s">
        <v>32</v>
      </c>
      <c r="R93" s="26"/>
      <c r="S93" s="27"/>
      <c r="T93" s="11" t="s">
        <v>39</v>
      </c>
    </row>
    <row r="94" spans="1:20">
      <c r="A94" s="48" t="s">
        <v>164</v>
      </c>
      <c r="B94" s="178" t="s">
        <v>165</v>
      </c>
      <c r="C94" s="179"/>
      <c r="D94" s="179"/>
      <c r="E94" s="179"/>
      <c r="F94" s="179"/>
      <c r="G94" s="179"/>
      <c r="H94" s="179"/>
      <c r="I94" s="180"/>
      <c r="J94" s="26">
        <v>3</v>
      </c>
      <c r="K94" s="26">
        <v>2</v>
      </c>
      <c r="L94" s="26">
        <v>1</v>
      </c>
      <c r="M94" s="26">
        <v>0</v>
      </c>
      <c r="N94" s="19">
        <f t="shared" si="25"/>
        <v>3</v>
      </c>
      <c r="O94" s="19">
        <f t="shared" si="26"/>
        <v>3</v>
      </c>
      <c r="P94" s="19">
        <f t="shared" si="27"/>
        <v>6</v>
      </c>
      <c r="Q94" s="26" t="s">
        <v>32</v>
      </c>
      <c r="R94" s="26"/>
      <c r="S94" s="27"/>
      <c r="T94" s="11" t="s">
        <v>39</v>
      </c>
    </row>
    <row r="95" spans="1:20" ht="24.75" customHeight="1">
      <c r="A95" s="151" t="s">
        <v>49</v>
      </c>
      <c r="B95" s="152"/>
      <c r="C95" s="152"/>
      <c r="D95" s="152"/>
      <c r="E95" s="152"/>
      <c r="F95" s="152"/>
      <c r="G95" s="152"/>
      <c r="H95" s="152"/>
      <c r="I95" s="153"/>
      <c r="J95" s="23">
        <f>SUM(J83,J83,J90)</f>
        <v>13</v>
      </c>
      <c r="K95" s="23">
        <f t="shared" ref="K95:P95" si="28">SUM(K83,K83,K90)</f>
        <v>6</v>
      </c>
      <c r="L95" s="23">
        <f t="shared" si="28"/>
        <v>3</v>
      </c>
      <c r="M95" s="23">
        <f t="shared" si="28"/>
        <v>0</v>
      </c>
      <c r="N95" s="23">
        <f t="shared" si="28"/>
        <v>9</v>
      </c>
      <c r="O95" s="23">
        <f t="shared" si="28"/>
        <v>15</v>
      </c>
      <c r="P95" s="23">
        <f t="shared" si="28"/>
        <v>24</v>
      </c>
      <c r="Q95" s="23">
        <f>COUNTIF(Q83,"E")*2+COUNTIF(Q90,"E")</f>
        <v>3</v>
      </c>
      <c r="R95" s="23">
        <f>COUNTIF(R83,"C")+COUNTIF(R90,"C")</f>
        <v>0</v>
      </c>
      <c r="S95" s="23">
        <f>COUNTIF(S83,"VP")+COUNTIF(S90,"VP")</f>
        <v>0</v>
      </c>
      <c r="T95" s="53">
        <f>3/22</f>
        <v>0.13636363636363635</v>
      </c>
    </row>
    <row r="96" spans="1:20" ht="13.5" customHeight="1">
      <c r="A96" s="154" t="s">
        <v>50</v>
      </c>
      <c r="B96" s="155"/>
      <c r="C96" s="155"/>
      <c r="D96" s="155"/>
      <c r="E96" s="155"/>
      <c r="F96" s="155"/>
      <c r="G96" s="155"/>
      <c r="H96" s="155"/>
      <c r="I96" s="155"/>
      <c r="J96" s="156"/>
      <c r="K96" s="23">
        <f>SUM(K83)*14*2+K90*12</f>
        <v>80</v>
      </c>
      <c r="L96" s="23">
        <f t="shared" ref="L96:P96" si="29">SUM(L83)*14*2+L90*12</f>
        <v>40</v>
      </c>
      <c r="M96" s="23">
        <f t="shared" si="29"/>
        <v>0</v>
      </c>
      <c r="N96" s="23">
        <f t="shared" si="29"/>
        <v>120</v>
      </c>
      <c r="O96" s="23">
        <f t="shared" si="29"/>
        <v>204</v>
      </c>
      <c r="P96" s="23">
        <f t="shared" si="29"/>
        <v>324</v>
      </c>
      <c r="Q96" s="135"/>
      <c r="R96" s="136"/>
      <c r="S96" s="136"/>
      <c r="T96" s="137"/>
    </row>
    <row r="97" spans="1:20">
      <c r="A97" s="157"/>
      <c r="B97" s="158"/>
      <c r="C97" s="158"/>
      <c r="D97" s="158"/>
      <c r="E97" s="158"/>
      <c r="F97" s="158"/>
      <c r="G97" s="158"/>
      <c r="H97" s="158"/>
      <c r="I97" s="158"/>
      <c r="J97" s="159"/>
      <c r="K97" s="141">
        <f>SUM(K96:M96)</f>
        <v>120</v>
      </c>
      <c r="L97" s="142"/>
      <c r="M97" s="143"/>
      <c r="N97" s="144">
        <f>SUM(N96:O96)</f>
        <v>324</v>
      </c>
      <c r="O97" s="145"/>
      <c r="P97" s="146"/>
      <c r="Q97" s="138"/>
      <c r="R97" s="139"/>
      <c r="S97" s="139"/>
      <c r="T97" s="140"/>
    </row>
    <row r="98" spans="1:20" ht="27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3"/>
      <c r="L98" s="13"/>
      <c r="M98" s="13"/>
      <c r="N98" s="14"/>
      <c r="O98" s="14"/>
      <c r="P98" s="14"/>
      <c r="Q98" s="15"/>
      <c r="R98" s="15"/>
      <c r="S98" s="15"/>
      <c r="T98" s="15"/>
    </row>
    <row r="99" spans="1:20" ht="24" customHeight="1">
      <c r="A99" s="181" t="s">
        <v>167</v>
      </c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</row>
    <row r="100" spans="1:20" ht="16.5" customHeight="1">
      <c r="A100" s="103" t="s">
        <v>52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04"/>
    </row>
    <row r="101" spans="1:20" ht="34.5" customHeight="1">
      <c r="A101" s="134" t="s">
        <v>27</v>
      </c>
      <c r="B101" s="134" t="s">
        <v>26</v>
      </c>
      <c r="C101" s="134"/>
      <c r="D101" s="134"/>
      <c r="E101" s="134"/>
      <c r="F101" s="134"/>
      <c r="G101" s="134"/>
      <c r="H101" s="134"/>
      <c r="I101" s="134"/>
      <c r="J101" s="102" t="s">
        <v>41</v>
      </c>
      <c r="K101" s="102" t="s">
        <v>24</v>
      </c>
      <c r="L101" s="102"/>
      <c r="M101" s="102"/>
      <c r="N101" s="102" t="s">
        <v>42</v>
      </c>
      <c r="O101" s="102"/>
      <c r="P101" s="102"/>
      <c r="Q101" s="102" t="s">
        <v>23</v>
      </c>
      <c r="R101" s="102"/>
      <c r="S101" s="102"/>
      <c r="T101" s="102" t="s">
        <v>22</v>
      </c>
    </row>
    <row r="102" spans="1:20">
      <c r="A102" s="134"/>
      <c r="B102" s="134"/>
      <c r="C102" s="134"/>
      <c r="D102" s="134"/>
      <c r="E102" s="134"/>
      <c r="F102" s="134"/>
      <c r="G102" s="134"/>
      <c r="H102" s="134"/>
      <c r="I102" s="134"/>
      <c r="J102" s="102"/>
      <c r="K102" s="29" t="s">
        <v>28</v>
      </c>
      <c r="L102" s="29" t="s">
        <v>29</v>
      </c>
      <c r="M102" s="29" t="s">
        <v>30</v>
      </c>
      <c r="N102" s="29" t="s">
        <v>34</v>
      </c>
      <c r="O102" s="29" t="s">
        <v>7</v>
      </c>
      <c r="P102" s="29" t="s">
        <v>31</v>
      </c>
      <c r="Q102" s="29" t="s">
        <v>32</v>
      </c>
      <c r="R102" s="29" t="s">
        <v>28</v>
      </c>
      <c r="S102" s="29" t="s">
        <v>33</v>
      </c>
      <c r="T102" s="102"/>
    </row>
    <row r="103" spans="1:20" ht="17.25" customHeight="1">
      <c r="A103" s="103" t="s">
        <v>63</v>
      </c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04"/>
    </row>
    <row r="104" spans="1:20">
      <c r="A104" s="30" t="str">
        <f>IF(ISNA(INDEX($A$34:$T$98,MATCH($B104,$B$34:$B$98,0),1)),"",INDEX($A$34:$T$98,MATCH($B104,$B$34:$B$98,0),1))</f>
        <v>EMM0367</v>
      </c>
      <c r="B104" s="162" t="s">
        <v>107</v>
      </c>
      <c r="C104" s="163"/>
      <c r="D104" s="163"/>
      <c r="E104" s="163"/>
      <c r="F104" s="163"/>
      <c r="G104" s="163"/>
      <c r="H104" s="163"/>
      <c r="I104" s="164"/>
      <c r="J104" s="19">
        <f>IF(ISNA(INDEX($A$34:$T$98,MATCH($B104,$B$34:$B$98,0),10)),"",INDEX($A$34:$T$98,MATCH($B104,$B$34:$B$98,0),10))</f>
        <v>5</v>
      </c>
      <c r="K104" s="19">
        <f>IF(ISNA(INDEX($A$34:$T$98,MATCH($B104,$B$34:$B$98,0),11)),"",INDEX($A$34:$T$98,MATCH($B104,$B$34:$B$98,0),11))</f>
        <v>1</v>
      </c>
      <c r="L104" s="19">
        <f>IF(ISNA(INDEX($A$34:$T$98,MATCH($B104,$B$34:$B$98,0),12)),"",INDEX($A$34:$T$98,MATCH($B104,$B$34:$B$98,0),12))</f>
        <v>2</v>
      </c>
      <c r="M104" s="19">
        <f>IF(ISNA(INDEX($A$34:$T$98,MATCH($B104,$B$34:$B$98,0),13)),"",INDEX($A$34:$T$98,MATCH($B104,$B$34:$B$98,0),13))</f>
        <v>0</v>
      </c>
      <c r="N104" s="19">
        <f>IF(ISNA(INDEX($A$34:$T$98,MATCH($B104,$B$34:$B$98,0),14)),"",INDEX($A$34:$T$98,MATCH($B104,$B$34:$B$98,0),14))</f>
        <v>3</v>
      </c>
      <c r="O104" s="19">
        <f>IF(ISNA(INDEX($A$34:$T$98,MATCH($B104,$B$34:$B$98,0),15)),"",INDEX($A$34:$T$98,MATCH($B104,$B$34:$B$98,0),15))</f>
        <v>6</v>
      </c>
      <c r="P104" s="19">
        <f>IF(ISNA(INDEX($A$34:$T$98,MATCH($B104,$B$34:$B$98,0),16)),"",INDEX($A$34:$T$98,MATCH($B104,$B$34:$B$98,0),16))</f>
        <v>9</v>
      </c>
      <c r="Q104" s="28" t="str">
        <f>IF(ISNA(INDEX($A$34:$T$98,MATCH($B104,$B$34:$B$98,0),17)),"",INDEX($A$34:$T$98,MATCH($B104,$B$34:$B$98,0),17))</f>
        <v>E</v>
      </c>
      <c r="R104" s="28">
        <f>IF(ISNA(INDEX($A$34:$T$98,MATCH($B104,$B$34:$B$98,0),18)),"",INDEX($A$34:$T$98,MATCH($B104,$B$34:$B$98,0),18))</f>
        <v>0</v>
      </c>
      <c r="S104" s="28">
        <f>IF(ISNA(INDEX($A$34:$T$98,MATCH($B104,$B$34:$B$98,0),19)),"",INDEX($A$34:$T$98,MATCH($B104,$B$34:$B$98,0),19))</f>
        <v>0</v>
      </c>
      <c r="T104" s="20" t="s">
        <v>37</v>
      </c>
    </row>
    <row r="105" spans="1:20">
      <c r="A105" s="30" t="str">
        <f>IF(ISNA(INDEX($A$34:$T$98,MATCH($B105,$B$34:$B$98,0),1)),"",INDEX($A$34:$T$98,MATCH($B105,$B$34:$B$98,0),1))</f>
        <v>EMM0485</v>
      </c>
      <c r="B105" s="162" t="s">
        <v>109</v>
      </c>
      <c r="C105" s="163"/>
      <c r="D105" s="163"/>
      <c r="E105" s="163"/>
      <c r="F105" s="163"/>
      <c r="G105" s="163"/>
      <c r="H105" s="163"/>
      <c r="I105" s="164"/>
      <c r="J105" s="19">
        <f>IF(ISNA(INDEX($A$34:$T$98,MATCH($B105,$B$34:$B$98,0),10)),"",INDEX($A$34:$T$98,MATCH($B105,$B$34:$B$98,0),10))</f>
        <v>5</v>
      </c>
      <c r="K105" s="19">
        <f>IF(ISNA(INDEX($A$34:$T$98,MATCH($B105,$B$34:$B$98,0),11)),"",INDEX($A$34:$T$98,MATCH($B105,$B$34:$B$98,0),11))</f>
        <v>2</v>
      </c>
      <c r="L105" s="19">
        <f>IF(ISNA(INDEX($A$34:$T$98,MATCH($B105,$B$34:$B$98,0),12)),"",INDEX($A$34:$T$98,MATCH($B105,$B$34:$B$98,0),12))</f>
        <v>1</v>
      </c>
      <c r="M105" s="19">
        <f>IF(ISNA(INDEX($A$34:$T$98,MATCH($B105,$B$34:$B$98,0),13)),"",INDEX($A$34:$T$98,MATCH($B105,$B$34:$B$98,0),13))</f>
        <v>0</v>
      </c>
      <c r="N105" s="19">
        <f>IF(ISNA(INDEX($A$34:$T$98,MATCH($B105,$B$34:$B$98,0),14)),"",INDEX($A$34:$T$98,MATCH($B105,$B$34:$B$98,0),14))</f>
        <v>3</v>
      </c>
      <c r="O105" s="19">
        <f>IF(ISNA(INDEX($A$34:$T$98,MATCH($B105,$B$34:$B$98,0),15)),"",INDEX($A$34:$T$98,MATCH($B105,$B$34:$B$98,0),15))</f>
        <v>6</v>
      </c>
      <c r="P105" s="19">
        <f>IF(ISNA(INDEX($A$34:$T$98,MATCH($B105,$B$34:$B$98,0),16)),"",INDEX($A$34:$T$98,MATCH($B105,$B$34:$B$98,0),16))</f>
        <v>9</v>
      </c>
      <c r="Q105" s="28" t="str">
        <f>IF(ISNA(INDEX($A$34:$T$98,MATCH($B105,$B$34:$B$98,0),17)),"",INDEX($A$34:$T$98,MATCH($B105,$B$34:$B$98,0),17))</f>
        <v>E</v>
      </c>
      <c r="R105" s="28">
        <f>IF(ISNA(INDEX($A$34:$T$98,MATCH($B105,$B$34:$B$98,0),18)),"",INDEX($A$34:$T$98,MATCH($B105,$B$34:$B$98,0),18))</f>
        <v>0</v>
      </c>
      <c r="S105" s="28">
        <f>IF(ISNA(INDEX($A$34:$T$98,MATCH($B105,$B$34:$B$98,0),19)),"",INDEX($A$34:$T$98,MATCH($B105,$B$34:$B$98,0),19))</f>
        <v>0</v>
      </c>
      <c r="T105" s="20" t="s">
        <v>37</v>
      </c>
    </row>
    <row r="106" spans="1:20">
      <c r="A106" s="30" t="str">
        <f>IF(ISNA(INDEX($A$34:$T$98,MATCH($B106,$B$34:$B$98,0),1)),"",INDEX($A$34:$T$98,MATCH($B106,$B$34:$B$98,0),1))</f>
        <v>EMM0486</v>
      </c>
      <c r="B106" s="162" t="s">
        <v>111</v>
      </c>
      <c r="C106" s="163"/>
      <c r="D106" s="163"/>
      <c r="E106" s="163"/>
      <c r="F106" s="163"/>
      <c r="G106" s="163"/>
      <c r="H106" s="163"/>
      <c r="I106" s="164"/>
      <c r="J106" s="19">
        <f>IF(ISNA(INDEX($A$34:$T$98,MATCH($B106,$B$34:$B$98,0),10)),"",INDEX($A$34:$T$98,MATCH($B106,$B$34:$B$98,0),10))</f>
        <v>5</v>
      </c>
      <c r="K106" s="19">
        <f>IF(ISNA(INDEX($A$34:$T$98,MATCH($B106,$B$34:$B$98,0),11)),"",INDEX($A$34:$T$98,MATCH($B106,$B$34:$B$98,0),11))</f>
        <v>1</v>
      </c>
      <c r="L106" s="19">
        <f>IF(ISNA(INDEX($A$34:$T$98,MATCH($B106,$B$34:$B$98,0),12)),"",INDEX($A$34:$T$98,MATCH($B106,$B$34:$B$98,0),12))</f>
        <v>0</v>
      </c>
      <c r="M106" s="19">
        <f>IF(ISNA(INDEX($A$34:$T$98,MATCH($B106,$B$34:$B$98,0),13)),"",INDEX($A$34:$T$98,MATCH($B106,$B$34:$B$98,0),13))</f>
        <v>1</v>
      </c>
      <c r="N106" s="19">
        <f>IF(ISNA(INDEX($A$34:$T$98,MATCH($B106,$B$34:$B$98,0),14)),"",INDEX($A$34:$T$98,MATCH($B106,$B$34:$B$98,0),14))</f>
        <v>2</v>
      </c>
      <c r="O106" s="19">
        <f>IF(ISNA(INDEX($A$34:$T$98,MATCH($B106,$B$34:$B$98,0),15)),"",INDEX($A$34:$T$98,MATCH($B106,$B$34:$B$98,0),15))</f>
        <v>7</v>
      </c>
      <c r="P106" s="19">
        <f>IF(ISNA(INDEX($A$34:$T$98,MATCH($B106,$B$34:$B$98,0),16)),"",INDEX($A$34:$T$98,MATCH($B106,$B$34:$B$98,0),16))</f>
        <v>9</v>
      </c>
      <c r="Q106" s="28">
        <f>IF(ISNA(INDEX($A$34:$T$98,MATCH($B106,$B$34:$B$98,0),17)),"",INDEX($A$34:$T$98,MATCH($B106,$B$34:$B$98,0),17))</f>
        <v>0</v>
      </c>
      <c r="R106" s="28" t="str">
        <f>IF(ISNA(INDEX($A$34:$T$98,MATCH($B106,$B$34:$B$98,0),18)),"",INDEX($A$34:$T$98,MATCH($B106,$B$34:$B$98,0),18))</f>
        <v>C</v>
      </c>
      <c r="S106" s="28">
        <f>IF(ISNA(INDEX($A$34:$T$98,MATCH($B106,$B$34:$B$98,0),19)),"",INDEX($A$34:$T$98,MATCH($B106,$B$34:$B$98,0),19))</f>
        <v>0</v>
      </c>
      <c r="T106" s="20" t="s">
        <v>37</v>
      </c>
    </row>
    <row r="107" spans="1:20">
      <c r="A107" s="30" t="str">
        <f>IF(ISNA(INDEX($A$34:$T$98,MATCH($B107,$B$34:$B$98,0),1)),"",INDEX($A$34:$T$98,MATCH($B107,$B$34:$B$98,0),1))</f>
        <v>EMM0243</v>
      </c>
      <c r="B107" s="162" t="s">
        <v>119</v>
      </c>
      <c r="C107" s="163"/>
      <c r="D107" s="163"/>
      <c r="E107" s="163"/>
      <c r="F107" s="163"/>
      <c r="G107" s="163"/>
      <c r="H107" s="163"/>
      <c r="I107" s="164"/>
      <c r="J107" s="19">
        <f>IF(ISNA(INDEX($A$34:$T$98,MATCH($B107,$B$34:$B$98,0),10)),"",INDEX($A$34:$T$98,MATCH($B107,$B$34:$B$98,0),10))</f>
        <v>6</v>
      </c>
      <c r="K107" s="19">
        <f>IF(ISNA(INDEX($A$34:$T$98,MATCH($B107,$B$34:$B$98,0),11)),"",INDEX($A$34:$T$98,MATCH($B107,$B$34:$B$98,0),11))</f>
        <v>1</v>
      </c>
      <c r="L107" s="19">
        <f>IF(ISNA(INDEX($A$34:$T$98,MATCH($B107,$B$34:$B$98,0),12)),"",INDEX($A$34:$T$98,MATCH($B107,$B$34:$B$98,0),12))</f>
        <v>2</v>
      </c>
      <c r="M107" s="19">
        <f>IF(ISNA(INDEX($A$34:$T$98,MATCH($B107,$B$34:$B$98,0),13)),"",INDEX($A$34:$T$98,MATCH($B107,$B$34:$B$98,0),13))</f>
        <v>0</v>
      </c>
      <c r="N107" s="19">
        <f>IF(ISNA(INDEX($A$34:$T$98,MATCH($B107,$B$34:$B$98,0),14)),"",INDEX($A$34:$T$98,MATCH($B107,$B$34:$B$98,0),14))</f>
        <v>3</v>
      </c>
      <c r="O107" s="19">
        <f>IF(ISNA(INDEX($A$34:$T$98,MATCH($B107,$B$34:$B$98,0),15)),"",INDEX($A$34:$T$98,MATCH($B107,$B$34:$B$98,0),15))</f>
        <v>8</v>
      </c>
      <c r="P107" s="19">
        <f>IF(ISNA(INDEX($A$34:$T$98,MATCH($B107,$B$34:$B$98,0),16)),"",INDEX($A$34:$T$98,MATCH($B107,$B$34:$B$98,0),16))</f>
        <v>11</v>
      </c>
      <c r="Q107" s="28" t="str">
        <f>IF(ISNA(INDEX($A$34:$T$98,MATCH($B107,$B$34:$B$98,0),17)),"",INDEX($A$34:$T$98,MATCH($B107,$B$34:$B$98,0),17))</f>
        <v>E</v>
      </c>
      <c r="R107" s="28">
        <f>IF(ISNA(INDEX($A$34:$T$98,MATCH($B107,$B$34:$B$98,0),18)),"",INDEX($A$34:$T$98,MATCH($B107,$B$34:$B$98,0),18))</f>
        <v>0</v>
      </c>
      <c r="S107" s="28">
        <f>IF(ISNA(INDEX($A$34:$T$98,MATCH($B107,$B$34:$B$98,0),19)),"",INDEX($A$34:$T$98,MATCH($B107,$B$34:$B$98,0),19))</f>
        <v>0</v>
      </c>
      <c r="T107" s="20" t="s">
        <v>37</v>
      </c>
    </row>
    <row r="108" spans="1:20">
      <c r="A108" s="30" t="str">
        <f>IF(ISNA(INDEX($A$34:$T$98,MATCH($B108,$B$34:$B$98,0),1)),"",INDEX($A$34:$T$98,MATCH($B108,$B$34:$B$98,0),1))</f>
        <v>EMM0575</v>
      </c>
      <c r="B108" s="162" t="s">
        <v>129</v>
      </c>
      <c r="C108" s="163"/>
      <c r="D108" s="163"/>
      <c r="E108" s="163"/>
      <c r="F108" s="163"/>
      <c r="G108" s="163"/>
      <c r="H108" s="163"/>
      <c r="I108" s="164"/>
      <c r="J108" s="19">
        <f>IF(ISNA(INDEX($A$34:$T$98,MATCH($B108,$B$34:$B$98,0),10)),"",INDEX($A$34:$T$98,MATCH($B108,$B$34:$B$98,0),10))</f>
        <v>5</v>
      </c>
      <c r="K108" s="19">
        <f>IF(ISNA(INDEX($A$34:$T$98,MATCH($B108,$B$34:$B$98,0),11)),"",INDEX($A$34:$T$98,MATCH($B108,$B$34:$B$98,0),11))</f>
        <v>2</v>
      </c>
      <c r="L108" s="19">
        <f>IF(ISNA(INDEX($A$34:$T$98,MATCH($B108,$B$34:$B$98,0),12)),"",INDEX($A$34:$T$98,MATCH($B108,$B$34:$B$98,0),12))</f>
        <v>1</v>
      </c>
      <c r="M108" s="19">
        <f>IF(ISNA(INDEX($A$34:$T$98,MATCH($B108,$B$34:$B$98,0),13)),"",INDEX($A$34:$T$98,MATCH($B108,$B$34:$B$98,0),13))</f>
        <v>0</v>
      </c>
      <c r="N108" s="19">
        <f>IF(ISNA(INDEX($A$34:$T$98,MATCH($B108,$B$34:$B$98,0),14)),"",INDEX($A$34:$T$98,MATCH($B108,$B$34:$B$98,0),14))</f>
        <v>3</v>
      </c>
      <c r="O108" s="19">
        <f>IF(ISNA(INDEX($A$34:$T$98,MATCH($B108,$B$34:$B$98,0),15)),"",INDEX($A$34:$T$98,MATCH($B108,$B$34:$B$98,0),15))</f>
        <v>6</v>
      </c>
      <c r="P108" s="19">
        <f>IF(ISNA(INDEX($A$34:$T$98,MATCH($B108,$B$34:$B$98,0),16)),"",INDEX($A$34:$T$98,MATCH($B108,$B$34:$B$98,0),16))</f>
        <v>9</v>
      </c>
      <c r="Q108" s="28" t="str">
        <f>IF(ISNA(INDEX($A$34:$T$98,MATCH($B108,$B$34:$B$98,0),17)),"",INDEX($A$34:$T$98,MATCH($B108,$B$34:$B$98,0),17))</f>
        <v>E</v>
      </c>
      <c r="R108" s="28">
        <f>IF(ISNA(INDEX($A$34:$T$98,MATCH($B108,$B$34:$B$98,0),18)),"",INDEX($A$34:$T$98,MATCH($B108,$B$34:$B$98,0),18))</f>
        <v>0</v>
      </c>
      <c r="S108" s="28">
        <f>IF(ISNA(INDEX($A$34:$T$98,MATCH($B108,$B$34:$B$98,0),19)),"",INDEX($A$34:$T$98,MATCH($B108,$B$34:$B$98,0),19))</f>
        <v>0</v>
      </c>
      <c r="T108" s="20" t="s">
        <v>37</v>
      </c>
    </row>
    <row r="109" spans="1:20">
      <c r="A109" s="21" t="s">
        <v>25</v>
      </c>
      <c r="B109" s="147"/>
      <c r="C109" s="148"/>
      <c r="D109" s="148"/>
      <c r="E109" s="148"/>
      <c r="F109" s="148"/>
      <c r="G109" s="148"/>
      <c r="H109" s="148"/>
      <c r="I109" s="149"/>
      <c r="J109" s="23">
        <f>IF(ISNA(SUM(J104:J108)),"",SUM(J104:J108))</f>
        <v>26</v>
      </c>
      <c r="K109" s="23">
        <f t="shared" ref="K109:P109" si="30">SUM(K104:K108)</f>
        <v>7</v>
      </c>
      <c r="L109" s="23">
        <f t="shared" si="30"/>
        <v>6</v>
      </c>
      <c r="M109" s="23">
        <f t="shared" si="30"/>
        <v>1</v>
      </c>
      <c r="N109" s="23">
        <f t="shared" si="30"/>
        <v>14</v>
      </c>
      <c r="O109" s="23">
        <f t="shared" si="30"/>
        <v>33</v>
      </c>
      <c r="P109" s="23">
        <f t="shared" si="30"/>
        <v>47</v>
      </c>
      <c r="Q109" s="21">
        <f>COUNTIF(Q104:Q108,"E")</f>
        <v>4</v>
      </c>
      <c r="R109" s="21">
        <f>COUNTIF(R104:R108,"C")</f>
        <v>1</v>
      </c>
      <c r="S109" s="21">
        <f>COUNTIF(S104:S108,"VP")</f>
        <v>0</v>
      </c>
      <c r="T109" s="20"/>
    </row>
    <row r="110" spans="1:20" ht="17.25" customHeight="1">
      <c r="A110" s="103" t="s">
        <v>64</v>
      </c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04"/>
    </row>
    <row r="111" spans="1:20">
      <c r="A111" s="30" t="str">
        <f>IF(ISNA(INDEX($A$34:$T$98,MATCH($B111,$B$34:$B$98,0),1)),"",INDEX($A$34:$T$98,MATCH($B111,$B$34:$B$98,0),1))</f>
        <v/>
      </c>
      <c r="B111" s="160"/>
      <c r="C111" s="160"/>
      <c r="D111" s="160"/>
      <c r="E111" s="160"/>
      <c r="F111" s="160"/>
      <c r="G111" s="160"/>
      <c r="H111" s="160"/>
      <c r="I111" s="160"/>
      <c r="J111" s="19" t="str">
        <f>IF(ISNA(INDEX($A$34:$T$98,MATCH($B111,$B$34:$B$98,0),10)),"",INDEX($A$34:$T$98,MATCH($B111,$B$34:$B$98,0),10))</f>
        <v/>
      </c>
      <c r="K111" s="19" t="str">
        <f>IF(ISNA(INDEX($A$34:$T$98,MATCH($B111,$B$34:$B$98,0),11)),"",INDEX($A$34:$T$98,MATCH($B111,$B$34:$B$98,0),11))</f>
        <v/>
      </c>
      <c r="L111" s="19" t="str">
        <f>IF(ISNA(INDEX($A$34:$T$98,MATCH($B111,$B$34:$B$98,0),12)),"",INDEX($A$34:$T$98,MATCH($B111,$B$34:$B$98,0),12))</f>
        <v/>
      </c>
      <c r="M111" s="19" t="str">
        <f>IF(ISNA(INDEX($A$34:$T$98,MATCH($B111,$B$34:$B$98,0),13)),"",INDEX($A$34:$T$98,MATCH($B111,$B$34:$B$98,0),13))</f>
        <v/>
      </c>
      <c r="N111" s="19" t="str">
        <f>IF(ISNA(INDEX($A$34:$T$98,MATCH($B111,$B$34:$B$98,0),14)),"",INDEX($A$34:$T$98,MATCH($B111,$B$34:$B$98,0),14))</f>
        <v/>
      </c>
      <c r="O111" s="19" t="str">
        <f>IF(ISNA(INDEX($A$34:$T$98,MATCH($B111,$B$34:$B$98,0),15)),"",INDEX($A$34:$T$98,MATCH($B111,$B$34:$B$98,0),15))</f>
        <v/>
      </c>
      <c r="P111" s="19" t="str">
        <f>IF(ISNA(INDEX($A$34:$T$98,MATCH($B111,$B$34:$B$98,0),16)),"",INDEX($A$34:$T$98,MATCH($B111,$B$34:$B$98,0),16))</f>
        <v/>
      </c>
      <c r="Q111" s="28" t="str">
        <f>IF(ISNA(INDEX($A$34:$T$98,MATCH($B111,$B$34:$B$98,0),17)),"",INDEX($A$34:$T$98,MATCH($B111,$B$34:$B$98,0),17))</f>
        <v/>
      </c>
      <c r="R111" s="28" t="str">
        <f>IF(ISNA(INDEX($A$34:$T$98,MATCH($B111,$B$34:$B$98,0),18)),"",INDEX($A$34:$T$98,MATCH($B111,$B$34:$B$98,0),18))</f>
        <v/>
      </c>
      <c r="S111" s="28" t="str">
        <f>IF(ISNA(INDEX($A$34:$T$98,MATCH($B111,$B$34:$B$98,0),19)),"",INDEX($A$34:$T$98,MATCH($B111,$B$34:$B$98,0),19))</f>
        <v/>
      </c>
      <c r="T111" s="20" t="s">
        <v>37</v>
      </c>
    </row>
    <row r="112" spans="1:20">
      <c r="A112" s="21" t="s">
        <v>25</v>
      </c>
      <c r="B112" s="134"/>
      <c r="C112" s="134"/>
      <c r="D112" s="134"/>
      <c r="E112" s="134"/>
      <c r="F112" s="134"/>
      <c r="G112" s="134"/>
      <c r="H112" s="134"/>
      <c r="I112" s="134"/>
      <c r="J112" s="23">
        <f t="shared" ref="J112:P112" si="31">SUM(J111:J111)</f>
        <v>0</v>
      </c>
      <c r="K112" s="23">
        <f t="shared" si="31"/>
        <v>0</v>
      </c>
      <c r="L112" s="23">
        <f t="shared" si="31"/>
        <v>0</v>
      </c>
      <c r="M112" s="23">
        <f t="shared" si="31"/>
        <v>0</v>
      </c>
      <c r="N112" s="23">
        <f t="shared" si="31"/>
        <v>0</v>
      </c>
      <c r="O112" s="23">
        <f t="shared" si="31"/>
        <v>0</v>
      </c>
      <c r="P112" s="23">
        <f t="shared" si="31"/>
        <v>0</v>
      </c>
      <c r="Q112" s="21">
        <f>COUNTIF(Q111:Q111,"E")</f>
        <v>0</v>
      </c>
      <c r="R112" s="21">
        <f>COUNTIF(R111:R111,"C")</f>
        <v>0</v>
      </c>
      <c r="S112" s="21">
        <f>COUNTIF(S111:S111,"VP")</f>
        <v>0</v>
      </c>
      <c r="T112" s="22"/>
    </row>
    <row r="113" spans="1:20" ht="27" customHeight="1">
      <c r="A113" s="151" t="s">
        <v>49</v>
      </c>
      <c r="B113" s="152"/>
      <c r="C113" s="152"/>
      <c r="D113" s="152"/>
      <c r="E113" s="152"/>
      <c r="F113" s="152"/>
      <c r="G113" s="152"/>
      <c r="H113" s="152"/>
      <c r="I113" s="153"/>
      <c r="J113" s="23">
        <f t="shared" ref="J113:S113" si="32">SUM(J109,J112)</f>
        <v>26</v>
      </c>
      <c r="K113" s="23">
        <f t="shared" si="32"/>
        <v>7</v>
      </c>
      <c r="L113" s="23">
        <f t="shared" si="32"/>
        <v>6</v>
      </c>
      <c r="M113" s="23">
        <f t="shared" si="32"/>
        <v>1</v>
      </c>
      <c r="N113" s="23">
        <f t="shared" si="32"/>
        <v>14</v>
      </c>
      <c r="O113" s="23">
        <f t="shared" si="32"/>
        <v>33</v>
      </c>
      <c r="P113" s="23">
        <f t="shared" si="32"/>
        <v>47</v>
      </c>
      <c r="Q113" s="23">
        <f t="shared" si="32"/>
        <v>4</v>
      </c>
      <c r="R113" s="23">
        <f t="shared" si="32"/>
        <v>1</v>
      </c>
      <c r="S113" s="23">
        <f t="shared" si="32"/>
        <v>0</v>
      </c>
      <c r="T113" s="53">
        <f>5/22</f>
        <v>0.22727272727272727</v>
      </c>
    </row>
    <row r="114" spans="1:20">
      <c r="A114" s="154" t="s">
        <v>50</v>
      </c>
      <c r="B114" s="155"/>
      <c r="C114" s="155"/>
      <c r="D114" s="155"/>
      <c r="E114" s="155"/>
      <c r="F114" s="155"/>
      <c r="G114" s="155"/>
      <c r="H114" s="155"/>
      <c r="I114" s="155"/>
      <c r="J114" s="156"/>
      <c r="K114" s="23">
        <f t="shared" ref="K114:P114" si="33">K109*14+K112*12</f>
        <v>98</v>
      </c>
      <c r="L114" s="23">
        <f t="shared" si="33"/>
        <v>84</v>
      </c>
      <c r="M114" s="23">
        <f t="shared" si="33"/>
        <v>14</v>
      </c>
      <c r="N114" s="23">
        <f t="shared" si="33"/>
        <v>196</v>
      </c>
      <c r="O114" s="23">
        <f t="shared" si="33"/>
        <v>462</v>
      </c>
      <c r="P114" s="23">
        <f t="shared" si="33"/>
        <v>658</v>
      </c>
      <c r="Q114" s="135"/>
      <c r="R114" s="136"/>
      <c r="S114" s="136"/>
      <c r="T114" s="137"/>
    </row>
    <row r="115" spans="1:20">
      <c r="A115" s="157"/>
      <c r="B115" s="158"/>
      <c r="C115" s="158"/>
      <c r="D115" s="158"/>
      <c r="E115" s="158"/>
      <c r="F115" s="158"/>
      <c r="G115" s="158"/>
      <c r="H115" s="158"/>
      <c r="I115" s="158"/>
      <c r="J115" s="159"/>
      <c r="K115" s="141">
        <f>SUM(K114:M114)</f>
        <v>196</v>
      </c>
      <c r="L115" s="142"/>
      <c r="M115" s="143"/>
      <c r="N115" s="144">
        <f>SUM(N114:O114)</f>
        <v>658</v>
      </c>
      <c r="O115" s="145"/>
      <c r="P115" s="146"/>
      <c r="Q115" s="138"/>
      <c r="R115" s="139"/>
      <c r="S115" s="139"/>
      <c r="T115" s="140"/>
    </row>
    <row r="116" spans="1:20" ht="40.5" customHeight="1">
      <c r="B116" s="2"/>
      <c r="C116" s="2"/>
      <c r="D116" s="2"/>
      <c r="E116" s="2"/>
      <c r="F116" s="2"/>
      <c r="G116" s="2"/>
      <c r="M116" s="8"/>
      <c r="N116" s="8"/>
      <c r="O116" s="8"/>
      <c r="P116" s="8"/>
      <c r="Q116" s="8"/>
      <c r="R116" s="8"/>
      <c r="S116" s="8"/>
    </row>
    <row r="117" spans="1:20" ht="23.25" customHeight="1">
      <c r="A117" s="134" t="s">
        <v>69</v>
      </c>
      <c r="B117" s="161"/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</row>
    <row r="118" spans="1:20" ht="26.25" customHeight="1">
      <c r="A118" s="134" t="s">
        <v>27</v>
      </c>
      <c r="B118" s="134" t="s">
        <v>26</v>
      </c>
      <c r="C118" s="134"/>
      <c r="D118" s="134"/>
      <c r="E118" s="134"/>
      <c r="F118" s="134"/>
      <c r="G118" s="134"/>
      <c r="H118" s="134"/>
      <c r="I118" s="134"/>
      <c r="J118" s="102" t="s">
        <v>41</v>
      </c>
      <c r="K118" s="102" t="s">
        <v>24</v>
      </c>
      <c r="L118" s="102"/>
      <c r="M118" s="102"/>
      <c r="N118" s="102" t="s">
        <v>42</v>
      </c>
      <c r="O118" s="102"/>
      <c r="P118" s="102"/>
      <c r="Q118" s="102" t="s">
        <v>23</v>
      </c>
      <c r="R118" s="102"/>
      <c r="S118" s="102"/>
      <c r="T118" s="102" t="s">
        <v>22</v>
      </c>
    </row>
    <row r="119" spans="1:20">
      <c r="A119" s="134"/>
      <c r="B119" s="134"/>
      <c r="C119" s="134"/>
      <c r="D119" s="134"/>
      <c r="E119" s="134"/>
      <c r="F119" s="134"/>
      <c r="G119" s="134"/>
      <c r="H119" s="134"/>
      <c r="I119" s="134"/>
      <c r="J119" s="102"/>
      <c r="K119" s="29" t="s">
        <v>28</v>
      </c>
      <c r="L119" s="29" t="s">
        <v>29</v>
      </c>
      <c r="M119" s="29" t="s">
        <v>30</v>
      </c>
      <c r="N119" s="29" t="s">
        <v>34</v>
      </c>
      <c r="O119" s="29" t="s">
        <v>7</v>
      </c>
      <c r="P119" s="29" t="s">
        <v>31</v>
      </c>
      <c r="Q119" s="29" t="s">
        <v>32</v>
      </c>
      <c r="R119" s="29" t="s">
        <v>28</v>
      </c>
      <c r="S119" s="29" t="s">
        <v>33</v>
      </c>
      <c r="T119" s="102"/>
    </row>
    <row r="120" spans="1:20" ht="18.75" customHeight="1">
      <c r="A120" s="103" t="s">
        <v>63</v>
      </c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04"/>
    </row>
    <row r="121" spans="1:20">
      <c r="A121" s="30" t="str">
        <f t="shared" ref="A121:A130" si="34">IF(ISNA(INDEX($A$34:$T$98,MATCH($B121,$B$34:$B$98,0),1)),"",INDEX($A$34:$T$98,MATCH($B121,$B$34:$B$98,0),1))</f>
        <v>EMM0140</v>
      </c>
      <c r="B121" s="162" t="s">
        <v>103</v>
      </c>
      <c r="C121" s="163"/>
      <c r="D121" s="163"/>
      <c r="E121" s="163"/>
      <c r="F121" s="163"/>
      <c r="G121" s="163"/>
      <c r="H121" s="163"/>
      <c r="I121" s="164"/>
      <c r="J121" s="19">
        <f t="shared" ref="J121:J130" si="35">IF(ISNA(INDEX($A$34:$T$98,MATCH($B121,$B$34:$B$98,0),10)),"",INDEX($A$34:$T$98,MATCH($B121,$B$34:$B$98,0),10))</f>
        <v>5</v>
      </c>
      <c r="K121" s="19">
        <f t="shared" ref="K121:K130" si="36">IF(ISNA(INDEX($A$34:$T$98,MATCH($B121,$B$34:$B$98,0),11)),"",INDEX($A$34:$T$98,MATCH($B121,$B$34:$B$98,0),11))</f>
        <v>2</v>
      </c>
      <c r="L121" s="19">
        <f t="shared" ref="L121:L130" si="37">IF(ISNA(INDEX($A$34:$T$98,MATCH($B121,$B$34:$B$98,0),12)),"",INDEX($A$34:$T$98,MATCH($B121,$B$34:$B$98,0),12))</f>
        <v>1</v>
      </c>
      <c r="M121" s="19">
        <f t="shared" ref="M121:M130" si="38">IF(ISNA(INDEX($A$34:$T$98,MATCH($B121,$B$34:$B$98,0),13)),"",INDEX($A$34:$T$98,MATCH($B121,$B$34:$B$98,0),13))</f>
        <v>0</v>
      </c>
      <c r="N121" s="19">
        <f t="shared" ref="N121:N130" si="39">IF(ISNA(INDEX($A$34:$T$98,MATCH($B121,$B$34:$B$98,0),14)),"",INDEX($A$34:$T$98,MATCH($B121,$B$34:$B$98,0),14))</f>
        <v>3</v>
      </c>
      <c r="O121" s="19">
        <f t="shared" ref="O121:O130" si="40">IF(ISNA(INDEX($A$34:$T$98,MATCH($B121,$B$34:$B$98,0),15)),"",INDEX($A$34:$T$98,MATCH($B121,$B$34:$B$98,0),15))</f>
        <v>6</v>
      </c>
      <c r="P121" s="19">
        <f t="shared" ref="P121:P130" si="41">IF(ISNA(INDEX($A$34:$T$98,MATCH($B121,$B$34:$B$98,0),16)),"",INDEX($A$34:$T$98,MATCH($B121,$B$34:$B$98,0),16))</f>
        <v>9</v>
      </c>
      <c r="Q121" s="28" t="str">
        <f t="shared" ref="Q121:Q130" si="42">IF(ISNA(INDEX($A$34:$T$98,MATCH($B121,$B$34:$B$98,0),17)),"",INDEX($A$34:$T$98,MATCH($B121,$B$34:$B$98,0),17))</f>
        <v>E</v>
      </c>
      <c r="R121" s="28">
        <f t="shared" ref="R121:R130" si="43">IF(ISNA(INDEX($A$34:$T$98,MATCH($B121,$B$34:$B$98,0),18)),"",INDEX($A$34:$T$98,MATCH($B121,$B$34:$B$98,0),18))</f>
        <v>0</v>
      </c>
      <c r="S121" s="28">
        <f t="shared" ref="S121:S130" si="44">IF(ISNA(INDEX($A$34:$T$98,MATCH($B121,$B$34:$B$98,0),19)),"",INDEX($A$34:$T$98,MATCH($B121,$B$34:$B$98,0),19))</f>
        <v>0</v>
      </c>
      <c r="T121" s="18" t="s">
        <v>39</v>
      </c>
    </row>
    <row r="122" spans="1:20">
      <c r="A122" s="30" t="str">
        <f t="shared" si="34"/>
        <v>EMM0037</v>
      </c>
      <c r="B122" s="162" t="s">
        <v>105</v>
      </c>
      <c r="C122" s="163"/>
      <c r="D122" s="163"/>
      <c r="E122" s="163"/>
      <c r="F122" s="163"/>
      <c r="G122" s="163"/>
      <c r="H122" s="163"/>
      <c r="I122" s="164"/>
      <c r="J122" s="19">
        <f t="shared" si="35"/>
        <v>5</v>
      </c>
      <c r="K122" s="19">
        <f t="shared" si="36"/>
        <v>1</v>
      </c>
      <c r="L122" s="19">
        <f t="shared" si="37"/>
        <v>2</v>
      </c>
      <c r="M122" s="19">
        <f t="shared" si="38"/>
        <v>0</v>
      </c>
      <c r="N122" s="19">
        <f t="shared" si="39"/>
        <v>3</v>
      </c>
      <c r="O122" s="19">
        <f t="shared" si="40"/>
        <v>6</v>
      </c>
      <c r="P122" s="19">
        <f t="shared" si="41"/>
        <v>9</v>
      </c>
      <c r="Q122" s="28" t="str">
        <f t="shared" si="42"/>
        <v>E</v>
      </c>
      <c r="R122" s="28">
        <f t="shared" si="43"/>
        <v>0</v>
      </c>
      <c r="S122" s="28">
        <f t="shared" si="44"/>
        <v>0</v>
      </c>
      <c r="T122" s="18" t="s">
        <v>39</v>
      </c>
    </row>
    <row r="123" spans="1:20">
      <c r="A123" s="30" t="str">
        <f t="shared" si="34"/>
        <v>EMM0343</v>
      </c>
      <c r="B123" s="162" t="s">
        <v>115</v>
      </c>
      <c r="C123" s="163"/>
      <c r="D123" s="163"/>
      <c r="E123" s="163"/>
      <c r="F123" s="163"/>
      <c r="G123" s="163"/>
      <c r="H123" s="163"/>
      <c r="I123" s="164"/>
      <c r="J123" s="19">
        <f t="shared" si="35"/>
        <v>6</v>
      </c>
      <c r="K123" s="19">
        <f t="shared" si="36"/>
        <v>2</v>
      </c>
      <c r="L123" s="19">
        <f t="shared" si="37"/>
        <v>1</v>
      </c>
      <c r="M123" s="19">
        <f t="shared" si="38"/>
        <v>0</v>
      </c>
      <c r="N123" s="19">
        <f t="shared" si="39"/>
        <v>3</v>
      </c>
      <c r="O123" s="19">
        <f t="shared" si="40"/>
        <v>8</v>
      </c>
      <c r="P123" s="19">
        <f t="shared" si="41"/>
        <v>11</v>
      </c>
      <c r="Q123" s="28" t="str">
        <f t="shared" si="42"/>
        <v>E</v>
      </c>
      <c r="R123" s="28">
        <f t="shared" si="43"/>
        <v>0</v>
      </c>
      <c r="S123" s="28">
        <f t="shared" si="44"/>
        <v>0</v>
      </c>
      <c r="T123" s="18" t="s">
        <v>39</v>
      </c>
    </row>
    <row r="124" spans="1:20">
      <c r="A124" s="30" t="str">
        <f t="shared" si="34"/>
        <v>EMM0317</v>
      </c>
      <c r="B124" s="162" t="s">
        <v>117</v>
      </c>
      <c r="C124" s="163"/>
      <c r="D124" s="163"/>
      <c r="E124" s="163"/>
      <c r="F124" s="163"/>
      <c r="G124" s="163"/>
      <c r="H124" s="163"/>
      <c r="I124" s="164"/>
      <c r="J124" s="19">
        <f t="shared" si="35"/>
        <v>6</v>
      </c>
      <c r="K124" s="19">
        <f t="shared" si="36"/>
        <v>1</v>
      </c>
      <c r="L124" s="19">
        <f t="shared" si="37"/>
        <v>2</v>
      </c>
      <c r="M124" s="19">
        <f t="shared" si="38"/>
        <v>0</v>
      </c>
      <c r="N124" s="19">
        <f t="shared" si="39"/>
        <v>3</v>
      </c>
      <c r="O124" s="19">
        <f t="shared" si="40"/>
        <v>8</v>
      </c>
      <c r="P124" s="19">
        <f t="shared" si="41"/>
        <v>11</v>
      </c>
      <c r="Q124" s="28" t="str">
        <f t="shared" si="42"/>
        <v>E</v>
      </c>
      <c r="R124" s="28">
        <f t="shared" si="43"/>
        <v>0</v>
      </c>
      <c r="S124" s="28">
        <f t="shared" si="44"/>
        <v>0</v>
      </c>
      <c r="T124" s="18" t="s">
        <v>39</v>
      </c>
    </row>
    <row r="125" spans="1:20">
      <c r="A125" s="30" t="str">
        <f t="shared" si="34"/>
        <v>EMM0487</v>
      </c>
      <c r="B125" s="162" t="s">
        <v>121</v>
      </c>
      <c r="C125" s="163"/>
      <c r="D125" s="163"/>
      <c r="E125" s="163"/>
      <c r="F125" s="163"/>
      <c r="G125" s="163"/>
      <c r="H125" s="163"/>
      <c r="I125" s="164"/>
      <c r="J125" s="19">
        <f t="shared" si="35"/>
        <v>6</v>
      </c>
      <c r="K125" s="19">
        <f t="shared" si="36"/>
        <v>2</v>
      </c>
      <c r="L125" s="19">
        <f t="shared" si="37"/>
        <v>1</v>
      </c>
      <c r="M125" s="19">
        <f t="shared" si="38"/>
        <v>0</v>
      </c>
      <c r="N125" s="19">
        <f t="shared" si="39"/>
        <v>3</v>
      </c>
      <c r="O125" s="19">
        <f t="shared" si="40"/>
        <v>8</v>
      </c>
      <c r="P125" s="19">
        <f t="shared" si="41"/>
        <v>11</v>
      </c>
      <c r="Q125" s="28" t="str">
        <f t="shared" si="42"/>
        <v>E</v>
      </c>
      <c r="R125" s="28">
        <f t="shared" si="43"/>
        <v>0</v>
      </c>
      <c r="S125" s="28">
        <f t="shared" si="44"/>
        <v>0</v>
      </c>
      <c r="T125" s="18" t="s">
        <v>39</v>
      </c>
    </row>
    <row r="126" spans="1:20">
      <c r="A126" s="30" t="str">
        <f t="shared" si="34"/>
        <v>EMM0488</v>
      </c>
      <c r="B126" s="162" t="s">
        <v>123</v>
      </c>
      <c r="C126" s="163"/>
      <c r="D126" s="163"/>
      <c r="E126" s="163"/>
      <c r="F126" s="163"/>
      <c r="G126" s="163"/>
      <c r="H126" s="163"/>
      <c r="I126" s="164"/>
      <c r="J126" s="19">
        <f t="shared" si="35"/>
        <v>4</v>
      </c>
      <c r="K126" s="19">
        <f t="shared" si="36"/>
        <v>2</v>
      </c>
      <c r="L126" s="19">
        <f t="shared" si="37"/>
        <v>0</v>
      </c>
      <c r="M126" s="19">
        <f t="shared" si="38"/>
        <v>0</v>
      </c>
      <c r="N126" s="19">
        <f t="shared" si="39"/>
        <v>2</v>
      </c>
      <c r="O126" s="19">
        <f t="shared" si="40"/>
        <v>6</v>
      </c>
      <c r="P126" s="19">
        <f t="shared" si="41"/>
        <v>8</v>
      </c>
      <c r="Q126" s="28" t="str">
        <f t="shared" si="42"/>
        <v>E</v>
      </c>
      <c r="R126" s="28">
        <f t="shared" si="43"/>
        <v>0</v>
      </c>
      <c r="S126" s="28">
        <f t="shared" si="44"/>
        <v>0</v>
      </c>
      <c r="T126" s="18" t="s">
        <v>39</v>
      </c>
    </row>
    <row r="127" spans="1:20">
      <c r="A127" s="30" t="str">
        <f t="shared" si="34"/>
        <v>EMM0573</v>
      </c>
      <c r="B127" s="162" t="s">
        <v>127</v>
      </c>
      <c r="C127" s="163"/>
      <c r="D127" s="163"/>
      <c r="E127" s="163"/>
      <c r="F127" s="163"/>
      <c r="G127" s="163"/>
      <c r="H127" s="163"/>
      <c r="I127" s="164"/>
      <c r="J127" s="19">
        <f t="shared" si="35"/>
        <v>5</v>
      </c>
      <c r="K127" s="19">
        <f t="shared" si="36"/>
        <v>1</v>
      </c>
      <c r="L127" s="19">
        <f t="shared" si="37"/>
        <v>1</v>
      </c>
      <c r="M127" s="19">
        <f t="shared" si="38"/>
        <v>0</v>
      </c>
      <c r="N127" s="19">
        <f t="shared" si="39"/>
        <v>2</v>
      </c>
      <c r="O127" s="19">
        <f t="shared" si="40"/>
        <v>7</v>
      </c>
      <c r="P127" s="19">
        <f t="shared" si="41"/>
        <v>9</v>
      </c>
      <c r="Q127" s="28" t="str">
        <f t="shared" si="42"/>
        <v>E</v>
      </c>
      <c r="R127" s="28">
        <f t="shared" si="43"/>
        <v>0</v>
      </c>
      <c r="S127" s="28">
        <f t="shared" si="44"/>
        <v>0</v>
      </c>
      <c r="T127" s="18" t="s">
        <v>39</v>
      </c>
    </row>
    <row r="128" spans="1:20">
      <c r="A128" s="30" t="str">
        <f t="shared" si="34"/>
        <v>EMM0105</v>
      </c>
      <c r="B128" s="162" t="s">
        <v>131</v>
      </c>
      <c r="C128" s="163"/>
      <c r="D128" s="163"/>
      <c r="E128" s="163"/>
      <c r="F128" s="163"/>
      <c r="G128" s="163"/>
      <c r="H128" s="163"/>
      <c r="I128" s="164"/>
      <c r="J128" s="19">
        <f t="shared" si="35"/>
        <v>5</v>
      </c>
      <c r="K128" s="19">
        <f t="shared" si="36"/>
        <v>1</v>
      </c>
      <c r="L128" s="19">
        <f t="shared" si="37"/>
        <v>2</v>
      </c>
      <c r="M128" s="19">
        <f t="shared" si="38"/>
        <v>0</v>
      </c>
      <c r="N128" s="19">
        <f t="shared" si="39"/>
        <v>3</v>
      </c>
      <c r="O128" s="19">
        <f t="shared" si="40"/>
        <v>6</v>
      </c>
      <c r="P128" s="19">
        <f t="shared" si="41"/>
        <v>9</v>
      </c>
      <c r="Q128" s="28" t="str">
        <f t="shared" si="42"/>
        <v>E</v>
      </c>
      <c r="R128" s="28">
        <f t="shared" si="43"/>
        <v>0</v>
      </c>
      <c r="S128" s="28">
        <f t="shared" si="44"/>
        <v>0</v>
      </c>
      <c r="T128" s="18" t="s">
        <v>39</v>
      </c>
    </row>
    <row r="129" spans="1:20">
      <c r="A129" s="30" t="str">
        <f t="shared" si="34"/>
        <v>EMX0044</v>
      </c>
      <c r="B129" s="162" t="s">
        <v>135</v>
      </c>
      <c r="C129" s="163"/>
      <c r="D129" s="163"/>
      <c r="E129" s="163"/>
      <c r="F129" s="163"/>
      <c r="G129" s="163"/>
      <c r="H129" s="163"/>
      <c r="I129" s="164"/>
      <c r="J129" s="19">
        <f t="shared" si="35"/>
        <v>5</v>
      </c>
      <c r="K129" s="19">
        <f t="shared" si="36"/>
        <v>2</v>
      </c>
      <c r="L129" s="19">
        <f t="shared" si="37"/>
        <v>1</v>
      </c>
      <c r="M129" s="19">
        <f t="shared" si="38"/>
        <v>0</v>
      </c>
      <c r="N129" s="19">
        <f t="shared" si="39"/>
        <v>3</v>
      </c>
      <c r="O129" s="19">
        <f t="shared" si="40"/>
        <v>6</v>
      </c>
      <c r="P129" s="19">
        <f t="shared" si="41"/>
        <v>9</v>
      </c>
      <c r="Q129" s="28" t="str">
        <f t="shared" si="42"/>
        <v>E</v>
      </c>
      <c r="R129" s="28">
        <f t="shared" si="43"/>
        <v>0</v>
      </c>
      <c r="S129" s="28">
        <f t="shared" si="44"/>
        <v>0</v>
      </c>
      <c r="T129" s="18" t="s">
        <v>39</v>
      </c>
    </row>
    <row r="130" spans="1:20">
      <c r="A130" s="30" t="str">
        <f t="shared" si="34"/>
        <v>EMX0045</v>
      </c>
      <c r="B130" s="162" t="s">
        <v>137</v>
      </c>
      <c r="C130" s="163"/>
      <c r="D130" s="163"/>
      <c r="E130" s="163"/>
      <c r="F130" s="163"/>
      <c r="G130" s="163"/>
      <c r="H130" s="163"/>
      <c r="I130" s="164"/>
      <c r="J130" s="19">
        <f t="shared" si="35"/>
        <v>5</v>
      </c>
      <c r="K130" s="19">
        <f t="shared" si="36"/>
        <v>2</v>
      </c>
      <c r="L130" s="19">
        <f t="shared" si="37"/>
        <v>1</v>
      </c>
      <c r="M130" s="19">
        <f t="shared" si="38"/>
        <v>0</v>
      </c>
      <c r="N130" s="19">
        <f t="shared" si="39"/>
        <v>3</v>
      </c>
      <c r="O130" s="19">
        <f t="shared" si="40"/>
        <v>6</v>
      </c>
      <c r="P130" s="19">
        <f t="shared" si="41"/>
        <v>9</v>
      </c>
      <c r="Q130" s="28" t="str">
        <f t="shared" si="42"/>
        <v>E</v>
      </c>
      <c r="R130" s="28">
        <f t="shared" si="43"/>
        <v>0</v>
      </c>
      <c r="S130" s="28">
        <f t="shared" si="44"/>
        <v>0</v>
      </c>
      <c r="T130" s="18" t="s">
        <v>39</v>
      </c>
    </row>
    <row r="131" spans="1:20">
      <c r="A131" s="21" t="s">
        <v>25</v>
      </c>
      <c r="B131" s="147"/>
      <c r="C131" s="148"/>
      <c r="D131" s="148"/>
      <c r="E131" s="148"/>
      <c r="F131" s="148"/>
      <c r="G131" s="148"/>
      <c r="H131" s="148"/>
      <c r="I131" s="149"/>
      <c r="J131" s="23">
        <f t="shared" ref="J131:P131" si="45">SUM(J121:J130)</f>
        <v>52</v>
      </c>
      <c r="K131" s="23">
        <f t="shared" si="45"/>
        <v>16</v>
      </c>
      <c r="L131" s="23">
        <f t="shared" si="45"/>
        <v>12</v>
      </c>
      <c r="M131" s="23">
        <f t="shared" si="45"/>
        <v>0</v>
      </c>
      <c r="N131" s="23">
        <f t="shared" si="45"/>
        <v>28</v>
      </c>
      <c r="O131" s="23">
        <f t="shared" si="45"/>
        <v>67</v>
      </c>
      <c r="P131" s="23">
        <f t="shared" si="45"/>
        <v>95</v>
      </c>
      <c r="Q131" s="21">
        <f>COUNTIF(Q121:Q130,"E")</f>
        <v>10</v>
      </c>
      <c r="R131" s="21">
        <f>COUNTIF(R121:R130,"C")</f>
        <v>0</v>
      </c>
      <c r="S131" s="21">
        <f>COUNTIF(S121:S130,"VP")</f>
        <v>0</v>
      </c>
      <c r="T131" s="18"/>
    </row>
    <row r="132" spans="1:20" ht="18" customHeight="1">
      <c r="A132" s="103" t="s">
        <v>65</v>
      </c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04"/>
    </row>
    <row r="133" spans="1:20">
      <c r="A133" s="30" t="str">
        <f>IF(ISNA(INDEX($A$34:$T$98,MATCH($B133,$B$34:$B$98,0),1)),"",INDEX($A$34:$T$98,MATCH($B133,$B$34:$B$98,0),1))</f>
        <v>EMM0015</v>
      </c>
      <c r="B133" s="162" t="s">
        <v>139</v>
      </c>
      <c r="C133" s="163"/>
      <c r="D133" s="163"/>
      <c r="E133" s="163"/>
      <c r="F133" s="163"/>
      <c r="G133" s="163"/>
      <c r="H133" s="163"/>
      <c r="I133" s="164"/>
      <c r="J133" s="19">
        <f>IF(ISNA(INDEX($A$34:$T$98,MATCH($B133,$B$34:$B$98,0),10)),"",INDEX($A$34:$T$98,MATCH($B133,$B$34:$B$98,0),10))</f>
        <v>5</v>
      </c>
      <c r="K133" s="19">
        <f>IF(ISNA(INDEX($A$34:$T$98,MATCH($B133,$B$34:$B$98,0),11)),"",INDEX($A$34:$T$98,MATCH($B133,$B$34:$B$98,0),11))</f>
        <v>2</v>
      </c>
      <c r="L133" s="19">
        <f>IF(ISNA(INDEX($A$34:$T$98,MATCH($B133,$B$34:$B$98,0),12)),"",INDEX($A$34:$T$98,MATCH($B133,$B$34:$B$98,0),12))</f>
        <v>2</v>
      </c>
      <c r="M133" s="19">
        <f>IF(ISNA(INDEX($A$34:$T$98,MATCH($B133,$B$34:$B$98,0),13)),"",INDEX($A$34:$T$98,MATCH($B133,$B$34:$B$98,0),13))</f>
        <v>0</v>
      </c>
      <c r="N133" s="19">
        <f>IF(ISNA(INDEX($A$34:$T$98,MATCH($B133,$B$34:$B$98,0),14)),"",INDEX($A$34:$T$98,MATCH($B133,$B$34:$B$98,0),14))</f>
        <v>4</v>
      </c>
      <c r="O133" s="19">
        <f>IF(ISNA(INDEX($A$34:$T$98,MATCH($B133,$B$34:$B$98,0),15)),"",INDEX($A$34:$T$98,MATCH($B133,$B$34:$B$98,0),15))</f>
        <v>6</v>
      </c>
      <c r="P133" s="19">
        <f>IF(ISNA(INDEX($A$34:$T$98,MATCH($B133,$B$34:$B$98,0),16)),"",INDEX($A$34:$T$98,MATCH($B133,$B$34:$B$98,0),16))</f>
        <v>10</v>
      </c>
      <c r="Q133" s="28" t="str">
        <f>IF(ISNA(INDEX($A$34:$T$98,MATCH($B133,$B$34:$B$98,0),17)),"",INDEX($A$34:$T$98,MATCH($B133,$B$34:$B$98,0),17))</f>
        <v>E</v>
      </c>
      <c r="R133" s="28">
        <f>IF(ISNA(INDEX($A$34:$T$98,MATCH($B133,$B$34:$B$98,0),18)),"",INDEX($A$34:$T$98,MATCH($B133,$B$34:$B$98,0),18))</f>
        <v>0</v>
      </c>
      <c r="S133" s="28">
        <f>IF(ISNA(INDEX($A$34:$T$98,MATCH($B133,$B$34:$B$98,0),19)),"",INDEX($A$34:$T$98,MATCH($B133,$B$34:$B$98,0),19))</f>
        <v>0</v>
      </c>
      <c r="T133" s="18" t="s">
        <v>39</v>
      </c>
    </row>
    <row r="134" spans="1:20">
      <c r="A134" s="30" t="str">
        <f>IF(ISNA(INDEX($A$34:$T$98,MATCH($B134,$B$34:$B$98,0),1)),"",INDEX($A$34:$T$98,MATCH($B134,$B$34:$B$98,0),1))</f>
        <v>EMX0046</v>
      </c>
      <c r="B134" s="162" t="s">
        <v>141</v>
      </c>
      <c r="C134" s="163"/>
      <c r="D134" s="163"/>
      <c r="E134" s="163"/>
      <c r="F134" s="163"/>
      <c r="G134" s="163"/>
      <c r="H134" s="163"/>
      <c r="I134" s="164"/>
      <c r="J134" s="19">
        <f>IF(ISNA(INDEX($A$34:$T$98,MATCH($B134,$B$34:$B$98,0),10)),"",INDEX($A$34:$T$98,MATCH($B134,$B$34:$B$98,0),10))</f>
        <v>3</v>
      </c>
      <c r="K134" s="19">
        <f>IF(ISNA(INDEX($A$34:$T$98,MATCH($B134,$B$34:$B$98,0),11)),"",INDEX($A$34:$T$98,MATCH($B134,$B$34:$B$98,0),11))</f>
        <v>2</v>
      </c>
      <c r="L134" s="19">
        <f>IF(ISNA(INDEX($A$34:$T$98,MATCH($B134,$B$34:$B$98,0),12)),"",INDEX($A$34:$T$98,MATCH($B134,$B$34:$B$98,0),12))</f>
        <v>1</v>
      </c>
      <c r="M134" s="19">
        <f>IF(ISNA(INDEX($A$34:$T$98,MATCH($B134,$B$34:$B$98,0),13)),"",INDEX($A$34:$T$98,MATCH($B134,$B$34:$B$98,0),13))</f>
        <v>0</v>
      </c>
      <c r="N134" s="19">
        <f>IF(ISNA(INDEX($A$34:$T$98,MATCH($B134,$B$34:$B$98,0),14)),"",INDEX($A$34:$T$98,MATCH($B134,$B$34:$B$98,0),14))</f>
        <v>3</v>
      </c>
      <c r="O134" s="19">
        <f>IF(ISNA(INDEX($A$34:$T$98,MATCH($B134,$B$34:$B$98,0),15)),"",INDEX($A$34:$T$98,MATCH($B134,$B$34:$B$98,0),15))</f>
        <v>3</v>
      </c>
      <c r="P134" s="19">
        <f>IF(ISNA(INDEX($A$34:$T$98,MATCH($B134,$B$34:$B$98,0),16)),"",INDEX($A$34:$T$98,MATCH($B134,$B$34:$B$98,0),16))</f>
        <v>6</v>
      </c>
      <c r="Q134" s="28" t="str">
        <f>IF(ISNA(INDEX($A$34:$T$98,MATCH($B134,$B$34:$B$98,0),17)),"",INDEX($A$34:$T$98,MATCH($B134,$B$34:$B$98,0),17))</f>
        <v>E</v>
      </c>
      <c r="R134" s="28">
        <f>IF(ISNA(INDEX($A$34:$T$98,MATCH($B134,$B$34:$B$98,0),18)),"",INDEX($A$34:$T$98,MATCH($B134,$B$34:$B$98,0),18))</f>
        <v>0</v>
      </c>
      <c r="S134" s="28">
        <f>IF(ISNA(INDEX($A$34:$T$98,MATCH($B134,$B$34:$B$98,0),19)),"",INDEX($A$34:$T$98,MATCH($B134,$B$34:$B$98,0),19))</f>
        <v>0</v>
      </c>
      <c r="T134" s="18" t="s">
        <v>39</v>
      </c>
    </row>
    <row r="135" spans="1:20">
      <c r="A135" s="30" t="str">
        <f>IF(ISNA(INDEX($A$34:$T$98,MATCH($B135,$B$34:$B$98,0),1)),"",INDEX($A$34:$T$98,MATCH($B135,$B$34:$B$98,0),1))</f>
        <v>EMM0433</v>
      </c>
      <c r="B135" s="162" t="s">
        <v>170</v>
      </c>
      <c r="C135" s="163"/>
      <c r="D135" s="163"/>
      <c r="E135" s="163"/>
      <c r="F135" s="163"/>
      <c r="G135" s="163"/>
      <c r="H135" s="163"/>
      <c r="I135" s="164"/>
      <c r="J135" s="19">
        <f>IF(ISNA(INDEX($A$34:$T$98,MATCH($B135,$B$34:$B$98,0),10)),"",INDEX($A$34:$T$98,MATCH($B135,$B$34:$B$98,0),10))</f>
        <v>9</v>
      </c>
      <c r="K135" s="19">
        <f>IF(ISNA(INDEX($A$34:$T$98,MATCH($B135,$B$34:$B$98,0),11)),"",INDEX($A$34:$T$98,MATCH($B135,$B$34:$B$98,0),11))</f>
        <v>0</v>
      </c>
      <c r="L135" s="19">
        <f>IF(ISNA(INDEX($A$34:$T$98,MATCH($B135,$B$34:$B$98,0),12)),"",INDEX($A$34:$T$98,MATCH($B135,$B$34:$B$98,0),12))</f>
        <v>0</v>
      </c>
      <c r="M135" s="19">
        <f>IF(ISNA(INDEX($A$34:$T$98,MATCH($B135,$B$34:$B$98,0),13)),"",INDEX($A$34:$T$98,MATCH($B135,$B$34:$B$98,0),13))</f>
        <v>3</v>
      </c>
      <c r="N135" s="19">
        <f>IF(ISNA(INDEX($A$34:$T$98,MATCH($B135,$B$34:$B$98,0),14)),"",INDEX($A$34:$T$98,MATCH($B135,$B$34:$B$98,0),14))</f>
        <v>3</v>
      </c>
      <c r="O135" s="19">
        <f>IF(ISNA(INDEX($A$34:$T$98,MATCH($B135,$B$34:$B$98,0),15)),"",INDEX($A$34:$T$98,MATCH($B135,$B$34:$B$98,0),15))</f>
        <v>16</v>
      </c>
      <c r="P135" s="19">
        <f>IF(ISNA(INDEX($A$34:$T$98,MATCH($B135,$B$34:$B$98,0),16)),"",INDEX($A$34:$T$98,MATCH($B135,$B$34:$B$98,0),16))</f>
        <v>19</v>
      </c>
      <c r="Q135" s="28">
        <f>IF(ISNA(INDEX($A$34:$T$98,MATCH($B135,$B$34:$B$98,0),17)),"",INDEX($A$34:$T$98,MATCH($B135,$B$34:$B$98,0),17))</f>
        <v>0</v>
      </c>
      <c r="R135" s="28"/>
      <c r="S135" s="28" t="str">
        <f>IF(ISNA(INDEX($A$34:$T$98,MATCH($B135,$B$34:$B$98,0),19)),"",INDEX($A$34:$T$98,MATCH($B135,$B$34:$B$98,0),19))</f>
        <v>VP</v>
      </c>
      <c r="T135" s="18" t="s">
        <v>39</v>
      </c>
    </row>
    <row r="136" spans="1:20" ht="24.75" customHeight="1">
      <c r="A136" s="61" t="str">
        <f>IF(ISNA(INDEX($A$34:$T$98,MATCH($B136,$B$34:$B$98,0),1)),"",INDEX($A$34:$T$98,MATCH($B136,$B$34:$B$98,0),1))</f>
        <v>EMM0483/ EMM0484</v>
      </c>
      <c r="B136" s="162" t="s">
        <v>143</v>
      </c>
      <c r="C136" s="163"/>
      <c r="D136" s="163"/>
      <c r="E136" s="163"/>
      <c r="F136" s="163"/>
      <c r="G136" s="163"/>
      <c r="H136" s="163"/>
      <c r="I136" s="164"/>
      <c r="J136" s="19">
        <f>IF(ISNA(INDEX($A$34:$T$98,MATCH($B136,$B$34:$B$98,0),10)),"",INDEX($A$34:$T$98,MATCH($B136,$B$34:$B$98,0),10))</f>
        <v>9</v>
      </c>
      <c r="K136" s="19">
        <f>IF(ISNA(INDEX($A$34:$T$98,MATCH($B136,$B$34:$B$98,0),11)),"",INDEX($A$34:$T$98,MATCH($B136,$B$34:$B$98,0),11))</f>
        <v>0</v>
      </c>
      <c r="L136" s="19">
        <f>IF(ISNA(INDEX($A$34:$T$98,MATCH($B136,$B$34:$B$98,0),12)),"",INDEX($A$34:$T$98,MATCH($B136,$B$34:$B$98,0),12))</f>
        <v>0</v>
      </c>
      <c r="M136" s="19">
        <f>IF(ISNA(INDEX($A$34:$T$98,MATCH($B136,$B$34:$B$98,0),13)),"",INDEX($A$34:$T$98,MATCH($B136,$B$34:$B$98,0),13))</f>
        <v>3</v>
      </c>
      <c r="N136" s="19">
        <f>IF(ISNA(INDEX($A$34:$T$98,MATCH($B136,$B$34:$B$98,0),14)),"",INDEX($A$34:$T$98,MATCH($B136,$B$34:$B$98,0),14))</f>
        <v>3</v>
      </c>
      <c r="O136" s="19">
        <f>IF(ISNA(INDEX($A$34:$T$98,MATCH($B136,$B$34:$B$98,0),15)),"",INDEX($A$34:$T$98,MATCH($B136,$B$34:$B$98,0),15))</f>
        <v>16</v>
      </c>
      <c r="P136" s="19">
        <f>IF(ISNA(INDEX($A$34:$T$98,MATCH($B136,$B$34:$B$98,0),16)),"",INDEX($A$34:$T$98,MATCH($B136,$B$34:$B$98,0),16))</f>
        <v>19</v>
      </c>
      <c r="Q136" s="28">
        <f>IF(ISNA(INDEX($A$34:$T$98,MATCH($B136,$B$34:$B$98,0),17)),"",INDEX($A$34:$T$98,MATCH($B136,$B$34:$B$98,0),17))</f>
        <v>0</v>
      </c>
      <c r="R136" s="28" t="str">
        <f>IF(ISNA(INDEX($A$34:$T$98,MATCH($B136,$B$34:$B$98,0),18)),"",INDEX($A$34:$T$98,MATCH($B136,$B$34:$B$98,0),18))</f>
        <v>C</v>
      </c>
      <c r="S136" s="28"/>
      <c r="T136" s="18" t="s">
        <v>39</v>
      </c>
    </row>
    <row r="137" spans="1:20">
      <c r="A137" s="21" t="s">
        <v>25</v>
      </c>
      <c r="B137" s="134"/>
      <c r="C137" s="134"/>
      <c r="D137" s="134"/>
      <c r="E137" s="134"/>
      <c r="F137" s="134"/>
      <c r="G137" s="134"/>
      <c r="H137" s="134"/>
      <c r="I137" s="134"/>
      <c r="J137" s="23">
        <f t="shared" ref="J137:P137" si="46">SUM(J133:J136)</f>
        <v>26</v>
      </c>
      <c r="K137" s="23">
        <f t="shared" si="46"/>
        <v>4</v>
      </c>
      <c r="L137" s="23">
        <f t="shared" si="46"/>
        <v>3</v>
      </c>
      <c r="M137" s="23">
        <f t="shared" si="46"/>
        <v>6</v>
      </c>
      <c r="N137" s="23">
        <f t="shared" si="46"/>
        <v>13</v>
      </c>
      <c r="O137" s="23">
        <f t="shared" si="46"/>
        <v>41</v>
      </c>
      <c r="P137" s="23">
        <f t="shared" si="46"/>
        <v>54</v>
      </c>
      <c r="Q137" s="21">
        <f>COUNTIF(Q133:Q136,"E")</f>
        <v>2</v>
      </c>
      <c r="R137" s="21">
        <f>COUNTIF(R133:R136,"C")</f>
        <v>1</v>
      </c>
      <c r="S137" s="21">
        <f>COUNTIF(S133:S136,"VP")</f>
        <v>1</v>
      </c>
      <c r="T137" s="22"/>
    </row>
    <row r="138" spans="1:20" ht="25.5" customHeight="1">
      <c r="A138" s="151" t="s">
        <v>49</v>
      </c>
      <c r="B138" s="152"/>
      <c r="C138" s="152"/>
      <c r="D138" s="152"/>
      <c r="E138" s="152"/>
      <c r="F138" s="152"/>
      <c r="G138" s="152"/>
      <c r="H138" s="152"/>
      <c r="I138" s="153"/>
      <c r="J138" s="23">
        <f t="shared" ref="J138:S138" si="47">SUM(J131,J137)</f>
        <v>78</v>
      </c>
      <c r="K138" s="23">
        <f t="shared" si="47"/>
        <v>20</v>
      </c>
      <c r="L138" s="23">
        <f t="shared" si="47"/>
        <v>15</v>
      </c>
      <c r="M138" s="23">
        <f t="shared" si="47"/>
        <v>6</v>
      </c>
      <c r="N138" s="23">
        <f t="shared" si="47"/>
        <v>41</v>
      </c>
      <c r="O138" s="23">
        <f t="shared" si="47"/>
        <v>108</v>
      </c>
      <c r="P138" s="23">
        <f t="shared" si="47"/>
        <v>149</v>
      </c>
      <c r="Q138" s="23">
        <f t="shared" si="47"/>
        <v>12</v>
      </c>
      <c r="R138" s="23">
        <f t="shared" si="47"/>
        <v>1</v>
      </c>
      <c r="S138" s="23">
        <f t="shared" si="47"/>
        <v>1</v>
      </c>
      <c r="T138" s="53">
        <f>14/22</f>
        <v>0.63636363636363635</v>
      </c>
    </row>
    <row r="139" spans="1:20" ht="13.5" customHeight="1">
      <c r="A139" s="154" t="s">
        <v>50</v>
      </c>
      <c r="B139" s="155"/>
      <c r="C139" s="155"/>
      <c r="D139" s="155"/>
      <c r="E139" s="155"/>
      <c r="F139" s="155"/>
      <c r="G139" s="155"/>
      <c r="H139" s="155"/>
      <c r="I139" s="155"/>
      <c r="J139" s="156"/>
      <c r="K139" s="23">
        <f t="shared" ref="K139:P139" si="48">K131*14+K137*12</f>
        <v>272</v>
      </c>
      <c r="L139" s="23">
        <f t="shared" si="48"/>
        <v>204</v>
      </c>
      <c r="M139" s="23">
        <f t="shared" si="48"/>
        <v>72</v>
      </c>
      <c r="N139" s="23">
        <f t="shared" si="48"/>
        <v>548</v>
      </c>
      <c r="O139" s="23">
        <f t="shared" si="48"/>
        <v>1430</v>
      </c>
      <c r="P139" s="23">
        <f t="shared" si="48"/>
        <v>1978</v>
      </c>
      <c r="Q139" s="135"/>
      <c r="R139" s="136"/>
      <c r="S139" s="136"/>
      <c r="T139" s="137"/>
    </row>
    <row r="140" spans="1:20" ht="16.5" customHeight="1">
      <c r="A140" s="157"/>
      <c r="B140" s="158"/>
      <c r="C140" s="158"/>
      <c r="D140" s="158"/>
      <c r="E140" s="158"/>
      <c r="F140" s="158"/>
      <c r="G140" s="158"/>
      <c r="H140" s="158"/>
      <c r="I140" s="158"/>
      <c r="J140" s="159"/>
      <c r="K140" s="141">
        <f>SUM(K139:M139)</f>
        <v>548</v>
      </c>
      <c r="L140" s="142"/>
      <c r="M140" s="143"/>
      <c r="N140" s="144">
        <f>SUM(N139:O139)</f>
        <v>1978</v>
      </c>
      <c r="O140" s="145"/>
      <c r="P140" s="146"/>
      <c r="Q140" s="138"/>
      <c r="R140" s="139"/>
      <c r="S140" s="139"/>
      <c r="T140" s="140"/>
    </row>
    <row r="141" spans="1:20" ht="8.25" customHeight="1"/>
    <row r="142" spans="1:20">
      <c r="B142" s="2"/>
      <c r="C142" s="2"/>
      <c r="D142" s="2"/>
      <c r="E142" s="2"/>
      <c r="F142" s="2"/>
      <c r="G142" s="2"/>
      <c r="M142" s="8"/>
      <c r="N142" s="8"/>
      <c r="O142" s="8"/>
      <c r="P142" s="8"/>
      <c r="Q142" s="8"/>
      <c r="R142" s="8"/>
      <c r="S142" s="8"/>
    </row>
    <row r="143" spans="1:20">
      <c r="B143" s="8"/>
      <c r="C143" s="8"/>
      <c r="D143" s="8"/>
      <c r="E143" s="8"/>
      <c r="F143" s="8"/>
      <c r="G143" s="8"/>
      <c r="H143" s="16"/>
      <c r="I143" s="16"/>
      <c r="J143" s="16"/>
      <c r="M143" s="8"/>
      <c r="N143" s="8"/>
      <c r="O143" s="8"/>
      <c r="P143" s="8"/>
      <c r="Q143" s="8"/>
      <c r="R143" s="8"/>
      <c r="S143" s="8"/>
    </row>
    <row r="144" spans="1:20" ht="12" customHeight="1"/>
    <row r="145" spans="1:20" ht="22.5" customHeight="1">
      <c r="A145" s="134" t="s">
        <v>70</v>
      </c>
      <c r="B145" s="161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</row>
    <row r="146" spans="1:20" ht="25.5" customHeight="1">
      <c r="A146" s="134" t="s">
        <v>27</v>
      </c>
      <c r="B146" s="134" t="s">
        <v>26</v>
      </c>
      <c r="C146" s="134"/>
      <c r="D146" s="134"/>
      <c r="E146" s="134"/>
      <c r="F146" s="134"/>
      <c r="G146" s="134"/>
      <c r="H146" s="134"/>
      <c r="I146" s="134"/>
      <c r="J146" s="102" t="s">
        <v>41</v>
      </c>
      <c r="K146" s="102" t="s">
        <v>24</v>
      </c>
      <c r="L146" s="102"/>
      <c r="M146" s="102"/>
      <c r="N146" s="102" t="s">
        <v>42</v>
      </c>
      <c r="O146" s="102"/>
      <c r="P146" s="102"/>
      <c r="Q146" s="102" t="s">
        <v>23</v>
      </c>
      <c r="R146" s="102"/>
      <c r="S146" s="102"/>
      <c r="T146" s="102" t="s">
        <v>22</v>
      </c>
    </row>
    <row r="147" spans="1:20" ht="18" customHeight="1">
      <c r="A147" s="134"/>
      <c r="B147" s="134"/>
      <c r="C147" s="134"/>
      <c r="D147" s="134"/>
      <c r="E147" s="134"/>
      <c r="F147" s="134"/>
      <c r="G147" s="134"/>
      <c r="H147" s="134"/>
      <c r="I147" s="134"/>
      <c r="J147" s="102"/>
      <c r="K147" s="29" t="s">
        <v>28</v>
      </c>
      <c r="L147" s="29" t="s">
        <v>29</v>
      </c>
      <c r="M147" s="29" t="s">
        <v>30</v>
      </c>
      <c r="N147" s="29" t="s">
        <v>34</v>
      </c>
      <c r="O147" s="29" t="s">
        <v>7</v>
      </c>
      <c r="P147" s="29" t="s">
        <v>31</v>
      </c>
      <c r="Q147" s="29" t="s">
        <v>32</v>
      </c>
      <c r="R147" s="29" t="s">
        <v>28</v>
      </c>
      <c r="S147" s="29" t="s">
        <v>33</v>
      </c>
      <c r="T147" s="102"/>
    </row>
    <row r="148" spans="1:20" ht="19.5" customHeight="1">
      <c r="A148" s="103" t="s">
        <v>63</v>
      </c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04"/>
    </row>
    <row r="149" spans="1:20" ht="24">
      <c r="A149" s="54" t="str">
        <f>IF(ISNA(INDEX($A$34:$T$98,MATCH($B149,$B$34:$B$98,0),1)),"",INDEX($A$34:$T$98,MATCH($B149,$B$34:$B$98,0),1))</f>
        <v>EME/EMF 0042</v>
      </c>
      <c r="B149" s="131" t="s">
        <v>113</v>
      </c>
      <c r="C149" s="132"/>
      <c r="D149" s="132"/>
      <c r="E149" s="132"/>
      <c r="F149" s="132"/>
      <c r="G149" s="132"/>
      <c r="H149" s="132"/>
      <c r="I149" s="133"/>
      <c r="J149" s="19">
        <f>IF(ISNA(INDEX($A$34:$T$98,MATCH($B149,$B$34:$B$98,0),10)),"",INDEX($A$34:$T$98,MATCH($B149,$B$34:$B$98,0),10))</f>
        <v>5</v>
      </c>
      <c r="K149" s="19">
        <f>IF(ISNA(INDEX($A$34:$T$98,MATCH($B149,$B$34:$B$98,0),11)),"",INDEX($A$34:$T$98,MATCH($B149,$B$34:$B$98,0),11))</f>
        <v>1</v>
      </c>
      <c r="L149" s="19">
        <f>IF(ISNA(INDEX($A$34:$T$98,MATCH($B149,$B$34:$B$98,0),12)),"",INDEX($A$34:$T$98,MATCH($B149,$B$34:$B$98,0),12))</f>
        <v>1</v>
      </c>
      <c r="M149" s="19">
        <f>IF(ISNA(INDEX($A$34:$T$98,MATCH($B149,$B$34:$B$98,0),13)),"",INDEX($A$34:$T$98,MATCH($B149,$B$34:$B$98,0),13))</f>
        <v>0</v>
      </c>
      <c r="N149" s="19">
        <f>IF(ISNA(INDEX($A$34:$T$98,MATCH($B149,$B$34:$B$98,0),14)),"",INDEX($A$34:$T$98,MATCH($B149,$B$34:$B$98,0),14))</f>
        <v>2</v>
      </c>
      <c r="O149" s="19">
        <f>IF(ISNA(INDEX($A$34:$T$98,MATCH($B149,$B$34:$B$98,0),15)),"",INDEX($A$34:$T$98,MATCH($B149,$B$34:$B$98,0),15))</f>
        <v>7</v>
      </c>
      <c r="P149" s="19">
        <f>IF(ISNA(INDEX($A$34:$T$98,MATCH($B149,$B$34:$B$98,0),16)),"",INDEX($A$34:$T$98,MATCH($B149,$B$34:$B$98,0),16))</f>
        <v>9</v>
      </c>
      <c r="Q149" s="28">
        <f>IF(ISNA(INDEX($A$34:$T$98,MATCH($B149,$B$34:$B$98,0),17)),"",INDEX($A$34:$T$98,MATCH($B149,$B$34:$B$98,0),17))</f>
        <v>0</v>
      </c>
      <c r="R149" s="28" t="str">
        <f>IF(ISNA(INDEX($A$34:$T$98,MATCH($B149,$B$34:$B$98,0),18)),"",INDEX($A$34:$T$98,MATCH($B149,$B$34:$B$98,0),18))</f>
        <v>C</v>
      </c>
      <c r="S149" s="28">
        <f>IF(ISNA(INDEX($A$34:$T$98,MATCH($B149,$B$34:$B$98,0),19)),"",INDEX($A$34:$T$98,MATCH($B149,$B$34:$B$98,0),19))</f>
        <v>0</v>
      </c>
      <c r="T149" s="18" t="s">
        <v>40</v>
      </c>
    </row>
    <row r="150" spans="1:20" ht="36">
      <c r="A150" s="54" t="str">
        <f>IF(ISNA(INDEX($A$34:$T$98,MATCH($B150,$B$34:$B$98,0),1)),"",INDEX($A$34:$T$98,MATCH($B150,$B$34:$B$98,0),1))</f>
        <v>EME/EMF/EMG/EMI/EMS 0164</v>
      </c>
      <c r="B150" s="131" t="s">
        <v>125</v>
      </c>
      <c r="C150" s="132"/>
      <c r="D150" s="132"/>
      <c r="E150" s="132"/>
      <c r="F150" s="132"/>
      <c r="G150" s="132"/>
      <c r="H150" s="132"/>
      <c r="I150" s="133"/>
      <c r="J150" s="19">
        <f>IF(ISNA(INDEX($A$34:$T$98,MATCH($B150,$B$34:$B$98,0),10)),"",INDEX($A$34:$T$98,MATCH($B150,$B$34:$B$98,0),10))</f>
        <v>6</v>
      </c>
      <c r="K150" s="19">
        <f>IF(ISNA(INDEX($A$34:$T$98,MATCH($B150,$B$34:$B$98,0),11)),"",INDEX($A$34:$T$98,MATCH($B150,$B$34:$B$98,0),11))</f>
        <v>0</v>
      </c>
      <c r="L150" s="19">
        <f>IF(ISNA(INDEX($A$34:$T$98,MATCH($B150,$B$34:$B$98,0),12)),"",INDEX($A$34:$T$98,MATCH($B150,$B$34:$B$98,0),12))</f>
        <v>0</v>
      </c>
      <c r="M150" s="19">
        <f>IF(ISNA(INDEX($A$34:$T$98,MATCH($B150,$B$34:$B$98,0),13)),"",INDEX($A$34:$T$98,MATCH($B150,$B$34:$B$98,0),13))</f>
        <v>2</v>
      </c>
      <c r="N150" s="19">
        <f>IF(ISNA(INDEX($A$34:$T$98,MATCH($B150,$B$34:$B$98,0),14)),"",INDEX($A$34:$T$98,MATCH($B150,$B$34:$B$98,0),14))</f>
        <v>2</v>
      </c>
      <c r="O150" s="19">
        <f>IF(ISNA(INDEX($A$34:$T$98,MATCH($B150,$B$34:$B$98,0),15)),"",INDEX($A$34:$T$98,MATCH($B150,$B$34:$B$98,0),15))</f>
        <v>9</v>
      </c>
      <c r="P150" s="19">
        <f>IF(ISNA(INDEX($A$34:$T$98,MATCH($B150,$B$34:$B$98,0),16)),"",INDEX($A$34:$T$98,MATCH($B150,$B$34:$B$98,0),16))</f>
        <v>11</v>
      </c>
      <c r="Q150" s="28">
        <f>IF(ISNA(INDEX($A$34:$T$98,MATCH($B150,$B$34:$B$98,0),17)),"",INDEX($A$34:$T$98,MATCH($B150,$B$34:$B$98,0),17))</f>
        <v>0</v>
      </c>
      <c r="R150" s="28" t="str">
        <f>IF(ISNA(INDEX($A$34:$T$98,MATCH($B150,$B$34:$B$98,0),18)),"",INDEX($A$34:$T$98,MATCH($B150,$B$34:$B$98,0),18))</f>
        <v>C</v>
      </c>
      <c r="S150" s="28">
        <f>IF(ISNA(INDEX($A$34:$T$98,MATCH($B150,$B$34:$B$98,0),19)),"",INDEX($A$34:$T$98,MATCH($B150,$B$34:$B$98,0),19))</f>
        <v>0</v>
      </c>
      <c r="T150" s="18" t="s">
        <v>40</v>
      </c>
    </row>
    <row r="151" spans="1:20" ht="36">
      <c r="A151" s="54" t="str">
        <f>IF(ISNA(INDEX($A$34:$T$98,MATCH($B151,$B$34:$B$98,0),1)),"",INDEX($A$34:$T$98,MATCH($B151,$B$34:$B$98,0),1))</f>
        <v>EME/EMF/EMG/EMI/EMS 0041</v>
      </c>
      <c r="B151" s="131" t="s">
        <v>133</v>
      </c>
      <c r="C151" s="132"/>
      <c r="D151" s="132"/>
      <c r="E151" s="132"/>
      <c r="F151" s="132"/>
      <c r="G151" s="132"/>
      <c r="H151" s="132"/>
      <c r="I151" s="133"/>
      <c r="J151" s="19">
        <f>IF(ISNA(INDEX($A$34:$T$98,MATCH($B151,$B$34:$B$98,0),10)),"",INDEX($A$34:$T$98,MATCH($B151,$B$34:$B$98,0),10))</f>
        <v>5</v>
      </c>
      <c r="K151" s="19">
        <f>IF(ISNA(INDEX($A$34:$T$98,MATCH($B151,$B$34:$B$98,0),11)),"",INDEX($A$34:$T$98,MATCH($B151,$B$34:$B$98,0),11))</f>
        <v>1</v>
      </c>
      <c r="L151" s="19">
        <f>IF(ISNA(INDEX($A$34:$T$98,MATCH($B151,$B$34:$B$98,0),12)),"",INDEX($A$34:$T$98,MATCH($B151,$B$34:$B$98,0),12))</f>
        <v>1</v>
      </c>
      <c r="M151" s="19">
        <f>IF(ISNA(INDEX($A$34:$T$98,MATCH($B151,$B$34:$B$98,0),13)),"",INDEX($A$34:$T$98,MATCH($B151,$B$34:$B$98,0),13))</f>
        <v>0</v>
      </c>
      <c r="N151" s="19">
        <f>IF(ISNA(INDEX($A$34:$T$98,MATCH($B151,$B$34:$B$98,0),14)),"",INDEX($A$34:$T$98,MATCH($B151,$B$34:$B$98,0),14))</f>
        <v>2</v>
      </c>
      <c r="O151" s="19">
        <f>IF(ISNA(INDEX($A$34:$T$98,MATCH($B151,$B$34:$B$98,0),15)),"",INDEX($A$34:$T$98,MATCH($B151,$B$34:$B$98,0),15))</f>
        <v>7</v>
      </c>
      <c r="P151" s="19">
        <f>IF(ISNA(INDEX($A$34:$T$98,MATCH($B151,$B$34:$B$98,0),16)),"",INDEX($A$34:$T$98,MATCH($B151,$B$34:$B$98,0),16))</f>
        <v>9</v>
      </c>
      <c r="Q151" s="28">
        <f>IF(ISNA(INDEX($A$34:$T$98,MATCH($B151,$B$34:$B$98,0),17)),"",INDEX($A$34:$T$98,MATCH($B151,$B$34:$B$98,0),17))</f>
        <v>0</v>
      </c>
      <c r="R151" s="28" t="str">
        <f>IF(ISNA(INDEX($A$34:$T$98,MATCH($B151,$B$34:$B$98,0),18)),"",INDEX($A$34:$T$98,MATCH($B151,$B$34:$B$98,0),18))</f>
        <v>C</v>
      </c>
      <c r="S151" s="28">
        <f>IF(ISNA(INDEX($A$34:$T$98,MATCH($B151,$B$34:$B$98,0),19)),"",INDEX($A$34:$T$98,MATCH($B151,$B$34:$B$98,0),19))</f>
        <v>0</v>
      </c>
      <c r="T151" s="18" t="s">
        <v>40</v>
      </c>
    </row>
    <row r="152" spans="1:20">
      <c r="A152" s="21" t="s">
        <v>25</v>
      </c>
      <c r="B152" s="147"/>
      <c r="C152" s="148"/>
      <c r="D152" s="148"/>
      <c r="E152" s="148"/>
      <c r="F152" s="148"/>
      <c r="G152" s="148"/>
      <c r="H152" s="148"/>
      <c r="I152" s="149"/>
      <c r="J152" s="23">
        <f t="shared" ref="J152:P152" si="49">SUM(J149:J151)</f>
        <v>16</v>
      </c>
      <c r="K152" s="23">
        <f t="shared" si="49"/>
        <v>2</v>
      </c>
      <c r="L152" s="23">
        <f t="shared" si="49"/>
        <v>2</v>
      </c>
      <c r="M152" s="23">
        <f t="shared" si="49"/>
        <v>2</v>
      </c>
      <c r="N152" s="23">
        <f t="shared" si="49"/>
        <v>6</v>
      </c>
      <c r="O152" s="23">
        <f t="shared" si="49"/>
        <v>23</v>
      </c>
      <c r="P152" s="23">
        <f t="shared" si="49"/>
        <v>29</v>
      </c>
      <c r="Q152" s="21">
        <f>COUNTIF(Q149:Q151,"E")</f>
        <v>0</v>
      </c>
      <c r="R152" s="21">
        <f>COUNTIF(R149:R151,"C")</f>
        <v>3</v>
      </c>
      <c r="S152" s="21">
        <f>COUNTIF(S149:S151,"VP")</f>
        <v>0</v>
      </c>
      <c r="T152" s="18"/>
    </row>
    <row r="153" spans="1:20" ht="19.5" customHeight="1">
      <c r="A153" s="103" t="s">
        <v>65</v>
      </c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04"/>
    </row>
    <row r="154" spans="1:20">
      <c r="A154" s="30" t="str">
        <f>IF(ISNA(INDEX($A$34:$T$98,MATCH($B154,$B$34:$B$98,0),1)),"",INDEX($A$34:$T$98,MATCH($B154,$B$34:$B$98,0),1))</f>
        <v/>
      </c>
      <c r="B154" s="160"/>
      <c r="C154" s="160"/>
      <c r="D154" s="160"/>
      <c r="E154" s="160"/>
      <c r="F154" s="160"/>
      <c r="G154" s="160"/>
      <c r="H154" s="160"/>
      <c r="I154" s="160"/>
      <c r="J154" s="19" t="str">
        <f>IF(ISNA(INDEX($A$34:$T$98,MATCH($B154,$B$34:$B$98,0),10)),"",INDEX($A$34:$T$98,MATCH($B154,$B$34:$B$98,0),10))</f>
        <v/>
      </c>
      <c r="K154" s="19" t="str">
        <f>IF(ISNA(INDEX($A$34:$T$98,MATCH($B154,$B$34:$B$98,0),11)),"",INDEX($A$34:$T$98,MATCH($B154,$B$34:$B$98,0),11))</f>
        <v/>
      </c>
      <c r="L154" s="19" t="str">
        <f>IF(ISNA(INDEX($A$34:$T$98,MATCH($B154,$B$34:$B$98,0),12)),"",INDEX($A$34:$T$98,MATCH($B154,$B$34:$B$98,0),12))</f>
        <v/>
      </c>
      <c r="M154" s="19" t="str">
        <f>IF(ISNA(INDEX($A$34:$T$98,MATCH($B154,$B$34:$B$98,0),13)),"",INDEX($A$34:$T$98,MATCH($B154,$B$34:$B$98,0),13))</f>
        <v/>
      </c>
      <c r="N154" s="19" t="str">
        <f>IF(ISNA(INDEX($A$34:$T$98,MATCH($B154,$B$34:$B$98,0),14)),"",INDEX($A$34:$T$98,MATCH($B154,$B$34:$B$98,0),14))</f>
        <v/>
      </c>
      <c r="O154" s="19" t="str">
        <f>IF(ISNA(INDEX($A$34:$T$98,MATCH($B154,$B$34:$B$98,0),15)),"",INDEX($A$34:$T$98,MATCH($B154,$B$34:$B$98,0),15))</f>
        <v/>
      </c>
      <c r="P154" s="19" t="str">
        <f>IF(ISNA(INDEX($A$34:$T$98,MATCH($B154,$B$34:$B$98,0),16)),"",INDEX($A$34:$T$98,MATCH($B154,$B$34:$B$98,0),16))</f>
        <v/>
      </c>
      <c r="Q154" s="28" t="str">
        <f>IF(ISNA(INDEX($A$34:$T$98,MATCH($B154,$B$34:$B$98,0),17)),"",INDEX($A$34:$T$98,MATCH($B154,$B$34:$B$98,0),17))</f>
        <v/>
      </c>
      <c r="R154" s="28" t="str">
        <f>IF(ISNA(INDEX($A$34:$T$98,MATCH($B154,$B$34:$B$98,0),18)),"",INDEX($A$34:$T$98,MATCH($B154,$B$34:$B$98,0),18))</f>
        <v/>
      </c>
      <c r="S154" s="28" t="str">
        <f>IF(ISNA(INDEX($A$34:$T$98,MATCH($B154,$B$34:$B$98,0),19)),"",INDEX($A$34:$T$98,MATCH($B154,$B$34:$B$98,0),19))</f>
        <v/>
      </c>
      <c r="T154" s="18"/>
    </row>
    <row r="155" spans="1:20">
      <c r="A155" s="21" t="s">
        <v>25</v>
      </c>
      <c r="B155" s="134"/>
      <c r="C155" s="134"/>
      <c r="D155" s="134"/>
      <c r="E155" s="134"/>
      <c r="F155" s="134"/>
      <c r="G155" s="134"/>
      <c r="H155" s="134"/>
      <c r="I155" s="134"/>
      <c r="J155" s="23">
        <f t="shared" ref="J155:P155" si="50">SUM(J154:J154)</f>
        <v>0</v>
      </c>
      <c r="K155" s="23">
        <f t="shared" si="50"/>
        <v>0</v>
      </c>
      <c r="L155" s="23">
        <f t="shared" si="50"/>
        <v>0</v>
      </c>
      <c r="M155" s="23">
        <f t="shared" si="50"/>
        <v>0</v>
      </c>
      <c r="N155" s="23">
        <f t="shared" si="50"/>
        <v>0</v>
      </c>
      <c r="O155" s="23">
        <f t="shared" si="50"/>
        <v>0</v>
      </c>
      <c r="P155" s="23">
        <f t="shared" si="50"/>
        <v>0</v>
      </c>
      <c r="Q155" s="21">
        <f>COUNTIF(Q154:Q154,"E")</f>
        <v>0</v>
      </c>
      <c r="R155" s="21">
        <f>COUNTIF(R154:R154,"C")</f>
        <v>0</v>
      </c>
      <c r="S155" s="21">
        <f>COUNTIF(S154:S154,"VP")</f>
        <v>0</v>
      </c>
      <c r="T155" s="22"/>
    </row>
    <row r="156" spans="1:20" ht="27.75" customHeight="1">
      <c r="A156" s="151" t="s">
        <v>49</v>
      </c>
      <c r="B156" s="152"/>
      <c r="C156" s="152"/>
      <c r="D156" s="152"/>
      <c r="E156" s="152"/>
      <c r="F156" s="152"/>
      <c r="G156" s="152"/>
      <c r="H156" s="152"/>
      <c r="I156" s="153"/>
      <c r="J156" s="23">
        <f t="shared" ref="J156:S156" si="51">SUM(J152,J155)</f>
        <v>16</v>
      </c>
      <c r="K156" s="23">
        <f t="shared" si="51"/>
        <v>2</v>
      </c>
      <c r="L156" s="23">
        <f t="shared" si="51"/>
        <v>2</v>
      </c>
      <c r="M156" s="23">
        <f t="shared" si="51"/>
        <v>2</v>
      </c>
      <c r="N156" s="23">
        <f t="shared" si="51"/>
        <v>6</v>
      </c>
      <c r="O156" s="23">
        <f t="shared" si="51"/>
        <v>23</v>
      </c>
      <c r="P156" s="23">
        <f t="shared" si="51"/>
        <v>29</v>
      </c>
      <c r="Q156" s="23">
        <f t="shared" si="51"/>
        <v>0</v>
      </c>
      <c r="R156" s="23">
        <f t="shared" si="51"/>
        <v>3</v>
      </c>
      <c r="S156" s="23">
        <f t="shared" si="51"/>
        <v>0</v>
      </c>
      <c r="T156" s="53">
        <f>3/22</f>
        <v>0.13636363636363635</v>
      </c>
    </row>
    <row r="157" spans="1:20" ht="17.25" customHeight="1">
      <c r="A157" s="154" t="s">
        <v>50</v>
      </c>
      <c r="B157" s="155"/>
      <c r="C157" s="155"/>
      <c r="D157" s="155"/>
      <c r="E157" s="155"/>
      <c r="F157" s="155"/>
      <c r="G157" s="155"/>
      <c r="H157" s="155"/>
      <c r="I157" s="155"/>
      <c r="J157" s="156"/>
      <c r="K157" s="23">
        <f t="shared" ref="K157:P157" si="52">K152*14+K155*12</f>
        <v>28</v>
      </c>
      <c r="L157" s="23">
        <f t="shared" si="52"/>
        <v>28</v>
      </c>
      <c r="M157" s="23">
        <f t="shared" si="52"/>
        <v>28</v>
      </c>
      <c r="N157" s="23">
        <f t="shared" si="52"/>
        <v>84</v>
      </c>
      <c r="O157" s="23">
        <f t="shared" si="52"/>
        <v>322</v>
      </c>
      <c r="P157" s="23">
        <f t="shared" si="52"/>
        <v>406</v>
      </c>
      <c r="Q157" s="135"/>
      <c r="R157" s="136"/>
      <c r="S157" s="136"/>
      <c r="T157" s="137"/>
    </row>
    <row r="158" spans="1:20">
      <c r="A158" s="157"/>
      <c r="B158" s="158"/>
      <c r="C158" s="158"/>
      <c r="D158" s="158"/>
      <c r="E158" s="158"/>
      <c r="F158" s="158"/>
      <c r="G158" s="158"/>
      <c r="H158" s="158"/>
      <c r="I158" s="158"/>
      <c r="J158" s="159"/>
      <c r="K158" s="141">
        <f>SUM(K157:M157)</f>
        <v>84</v>
      </c>
      <c r="L158" s="142"/>
      <c r="M158" s="143"/>
      <c r="N158" s="144">
        <f>SUM(N157:O157)</f>
        <v>406</v>
      </c>
      <c r="O158" s="145"/>
      <c r="P158" s="146"/>
      <c r="Q158" s="138"/>
      <c r="R158" s="139"/>
      <c r="S158" s="139"/>
      <c r="T158" s="140"/>
    </row>
    <row r="159" spans="1:20" ht="8.25" customHeight="1"/>
    <row r="160" spans="1:20">
      <c r="B160" s="8"/>
      <c r="C160" s="8"/>
      <c r="D160" s="8"/>
      <c r="E160" s="8"/>
      <c r="F160" s="8"/>
      <c r="G160" s="8"/>
      <c r="H160" s="16"/>
      <c r="I160" s="16"/>
      <c r="J160" s="16"/>
      <c r="M160" s="8"/>
      <c r="N160" s="8"/>
      <c r="O160" s="8"/>
      <c r="P160" s="8"/>
      <c r="Q160" s="8"/>
      <c r="R160" s="8"/>
      <c r="S160" s="8"/>
    </row>
    <row r="162" spans="1:20">
      <c r="A162" s="122" t="s">
        <v>60</v>
      </c>
      <c r="B162" s="122"/>
    </row>
    <row r="163" spans="1:20">
      <c r="A163" s="123" t="s">
        <v>27</v>
      </c>
      <c r="B163" s="125" t="s">
        <v>53</v>
      </c>
      <c r="C163" s="126"/>
      <c r="D163" s="126"/>
      <c r="E163" s="126"/>
      <c r="F163" s="126"/>
      <c r="G163" s="127"/>
      <c r="H163" s="125" t="s">
        <v>55</v>
      </c>
      <c r="I163" s="127"/>
      <c r="J163" s="99" t="s">
        <v>56</v>
      </c>
      <c r="K163" s="100"/>
      <c r="L163" s="100"/>
      <c r="M163" s="100"/>
      <c r="N163" s="100"/>
      <c r="O163" s="101"/>
      <c r="P163" s="125" t="s">
        <v>48</v>
      </c>
      <c r="Q163" s="127"/>
      <c r="R163" s="99" t="s">
        <v>57</v>
      </c>
      <c r="S163" s="100"/>
      <c r="T163" s="101"/>
    </row>
    <row r="164" spans="1:20">
      <c r="A164" s="124"/>
      <c r="B164" s="128"/>
      <c r="C164" s="129"/>
      <c r="D164" s="129"/>
      <c r="E164" s="129"/>
      <c r="F164" s="129"/>
      <c r="G164" s="130"/>
      <c r="H164" s="128"/>
      <c r="I164" s="130"/>
      <c r="J164" s="99" t="s">
        <v>34</v>
      </c>
      <c r="K164" s="101"/>
      <c r="L164" s="99" t="s">
        <v>7</v>
      </c>
      <c r="M164" s="101"/>
      <c r="N164" s="99" t="s">
        <v>31</v>
      </c>
      <c r="O164" s="101"/>
      <c r="P164" s="128"/>
      <c r="Q164" s="130"/>
      <c r="R164" s="35" t="s">
        <v>58</v>
      </c>
      <c r="S164" s="99" t="s">
        <v>59</v>
      </c>
      <c r="T164" s="101"/>
    </row>
    <row r="165" spans="1:20">
      <c r="A165" s="35">
        <v>1</v>
      </c>
      <c r="B165" s="99" t="s">
        <v>54</v>
      </c>
      <c r="C165" s="100"/>
      <c r="D165" s="100"/>
      <c r="E165" s="100"/>
      <c r="F165" s="100"/>
      <c r="G165" s="101"/>
      <c r="H165" s="109">
        <f>J165</f>
        <v>52</v>
      </c>
      <c r="I165" s="109"/>
      <c r="J165" s="110">
        <f>N43+N53+N66+N76-J166</f>
        <v>52</v>
      </c>
      <c r="K165" s="111"/>
      <c r="L165" s="110">
        <f>O43+O53+O66+O76-L166</f>
        <v>149</v>
      </c>
      <c r="M165" s="111"/>
      <c r="N165" s="112">
        <f>SUM(J165:M165)</f>
        <v>201</v>
      </c>
      <c r="O165" s="113"/>
      <c r="P165" s="114">
        <f>H165/H167</f>
        <v>0.85245901639344257</v>
      </c>
      <c r="Q165" s="115"/>
      <c r="R165" s="36">
        <f>J43+J53-R166</f>
        <v>60</v>
      </c>
      <c r="S165" s="116">
        <f>J66+J76-S166</f>
        <v>47</v>
      </c>
      <c r="T165" s="117"/>
    </row>
    <row r="166" spans="1:20">
      <c r="A166" s="35">
        <v>2</v>
      </c>
      <c r="B166" s="99" t="s">
        <v>177</v>
      </c>
      <c r="C166" s="100"/>
      <c r="D166" s="100"/>
      <c r="E166" s="100"/>
      <c r="F166" s="100"/>
      <c r="G166" s="101"/>
      <c r="H166" s="109">
        <f>J166</f>
        <v>9</v>
      </c>
      <c r="I166" s="109"/>
      <c r="J166" s="118">
        <f>N95</f>
        <v>9</v>
      </c>
      <c r="K166" s="119"/>
      <c r="L166" s="118">
        <f>O95</f>
        <v>15</v>
      </c>
      <c r="M166" s="119"/>
      <c r="N166" s="112">
        <f>SUM(J166:M166)</f>
        <v>24</v>
      </c>
      <c r="O166" s="113"/>
      <c r="P166" s="114">
        <f>H166/H167</f>
        <v>0.14754098360655737</v>
      </c>
      <c r="Q166" s="115"/>
      <c r="R166" s="17">
        <v>0</v>
      </c>
      <c r="S166" s="120">
        <v>13</v>
      </c>
      <c r="T166" s="121"/>
    </row>
    <row r="167" spans="1:20">
      <c r="A167" s="99" t="s">
        <v>25</v>
      </c>
      <c r="B167" s="100"/>
      <c r="C167" s="100"/>
      <c r="D167" s="100"/>
      <c r="E167" s="100"/>
      <c r="F167" s="100"/>
      <c r="G167" s="101"/>
      <c r="H167" s="102">
        <f>SUM(H165:I166)</f>
        <v>61</v>
      </c>
      <c r="I167" s="102"/>
      <c r="J167" s="102">
        <f>SUM(J165:K166)</f>
        <v>61</v>
      </c>
      <c r="K167" s="102"/>
      <c r="L167" s="103">
        <f>SUM(L165:M166)</f>
        <v>164</v>
      </c>
      <c r="M167" s="104"/>
      <c r="N167" s="103">
        <f>SUM(N165:O166)</f>
        <v>225</v>
      </c>
      <c r="O167" s="104"/>
      <c r="P167" s="105">
        <f>SUM(P165:Q166)</f>
        <v>1</v>
      </c>
      <c r="Q167" s="106"/>
      <c r="R167" s="37">
        <f>SUM(R165:R166)</f>
        <v>60</v>
      </c>
      <c r="S167" s="107">
        <f>SUM(S165:T166)</f>
        <v>60</v>
      </c>
      <c r="T167" s="108"/>
    </row>
    <row r="171" spans="1:20" ht="15" customHeight="1">
      <c r="A171" s="182" t="s">
        <v>178</v>
      </c>
      <c r="B171" s="182"/>
      <c r="C171" s="182"/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</row>
    <row r="172" spans="1:20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</row>
    <row r="173" spans="1:20" ht="12.75" customHeight="1">
      <c r="A173" s="98" t="s">
        <v>78</v>
      </c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</row>
    <row r="174" spans="1:20" ht="27.75" customHeight="1">
      <c r="A174" s="98" t="s">
        <v>27</v>
      </c>
      <c r="B174" s="98" t="s">
        <v>26</v>
      </c>
      <c r="C174" s="98"/>
      <c r="D174" s="98"/>
      <c r="E174" s="98"/>
      <c r="F174" s="98"/>
      <c r="G174" s="98"/>
      <c r="H174" s="98"/>
      <c r="I174" s="98"/>
      <c r="J174" s="224" t="s">
        <v>41</v>
      </c>
      <c r="K174" s="224" t="s">
        <v>24</v>
      </c>
      <c r="L174" s="224"/>
      <c r="M174" s="224"/>
      <c r="N174" s="224" t="s">
        <v>42</v>
      </c>
      <c r="O174" s="225"/>
      <c r="P174" s="225"/>
      <c r="Q174" s="224" t="s">
        <v>23</v>
      </c>
      <c r="R174" s="224"/>
      <c r="S174" s="224"/>
      <c r="T174" s="224" t="s">
        <v>22</v>
      </c>
    </row>
    <row r="175" spans="1:20" ht="12.75" customHeight="1">
      <c r="A175" s="98"/>
      <c r="B175" s="98"/>
      <c r="C175" s="98"/>
      <c r="D175" s="98"/>
      <c r="E175" s="98"/>
      <c r="F175" s="98"/>
      <c r="G175" s="98"/>
      <c r="H175" s="98"/>
      <c r="I175" s="98"/>
      <c r="J175" s="224"/>
      <c r="K175" s="47" t="s">
        <v>28</v>
      </c>
      <c r="L175" s="47" t="s">
        <v>29</v>
      </c>
      <c r="M175" s="47" t="s">
        <v>30</v>
      </c>
      <c r="N175" s="47" t="s">
        <v>34</v>
      </c>
      <c r="O175" s="47" t="s">
        <v>7</v>
      </c>
      <c r="P175" s="47" t="s">
        <v>31</v>
      </c>
      <c r="Q175" s="47" t="s">
        <v>32</v>
      </c>
      <c r="R175" s="47" t="s">
        <v>28</v>
      </c>
      <c r="S175" s="47" t="s">
        <v>33</v>
      </c>
      <c r="T175" s="224"/>
    </row>
    <row r="176" spans="1:20">
      <c r="A176" s="226" t="s">
        <v>79</v>
      </c>
      <c r="B176" s="226"/>
      <c r="C176" s="226"/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</row>
    <row r="177" spans="1:20" s="41" customFormat="1">
      <c r="A177" s="42" t="s">
        <v>71</v>
      </c>
      <c r="B177" s="62" t="s">
        <v>85</v>
      </c>
      <c r="C177" s="62"/>
      <c r="D177" s="62"/>
      <c r="E177" s="62"/>
      <c r="F177" s="62"/>
      <c r="G177" s="62"/>
      <c r="H177" s="62"/>
      <c r="I177" s="62"/>
      <c r="J177" s="38">
        <v>5</v>
      </c>
      <c r="K177" s="38">
        <v>2</v>
      </c>
      <c r="L177" s="38">
        <v>1</v>
      </c>
      <c r="M177" s="38">
        <v>0</v>
      </c>
      <c r="N177" s="39">
        <f>K177+L177+M177</f>
        <v>3</v>
      </c>
      <c r="O177" s="39">
        <f>P177-N177</f>
        <v>6</v>
      </c>
      <c r="P177" s="39">
        <f>ROUND(PRODUCT(J177,25)/14,0)</f>
        <v>9</v>
      </c>
      <c r="Q177" s="38" t="s">
        <v>32</v>
      </c>
      <c r="R177" s="38"/>
      <c r="S177" s="40"/>
      <c r="T177" s="40" t="s">
        <v>37</v>
      </c>
    </row>
    <row r="178" spans="1:20">
      <c r="A178" s="42" t="s">
        <v>72</v>
      </c>
      <c r="B178" s="62" t="s">
        <v>86</v>
      </c>
      <c r="C178" s="62"/>
      <c r="D178" s="62"/>
      <c r="E178" s="62"/>
      <c r="F178" s="62"/>
      <c r="G178" s="62"/>
      <c r="H178" s="62"/>
      <c r="I178" s="62"/>
      <c r="J178" s="38">
        <v>5</v>
      </c>
      <c r="K178" s="38">
        <v>2</v>
      </c>
      <c r="L178" s="38">
        <v>1</v>
      </c>
      <c r="M178" s="38">
        <v>0</v>
      </c>
      <c r="N178" s="39">
        <f>K178+L178+M178</f>
        <v>3</v>
      </c>
      <c r="O178" s="39">
        <f>P178-N178</f>
        <v>6</v>
      </c>
      <c r="P178" s="39">
        <f>ROUND(PRODUCT(J178,25)/14,0)</f>
        <v>9</v>
      </c>
      <c r="Q178" s="38" t="s">
        <v>32</v>
      </c>
      <c r="R178" s="38"/>
      <c r="S178" s="40"/>
      <c r="T178" s="40" t="s">
        <v>37</v>
      </c>
    </row>
    <row r="179" spans="1:20">
      <c r="A179" s="68" t="s">
        <v>80</v>
      </c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70"/>
    </row>
    <row r="180" spans="1:20" ht="30" customHeight="1">
      <c r="A180" s="42" t="s">
        <v>73</v>
      </c>
      <c r="B180" s="63" t="s">
        <v>87</v>
      </c>
      <c r="C180" s="64"/>
      <c r="D180" s="64"/>
      <c r="E180" s="64"/>
      <c r="F180" s="64"/>
      <c r="G180" s="64"/>
      <c r="H180" s="64"/>
      <c r="I180" s="65"/>
      <c r="J180" s="38">
        <v>5</v>
      </c>
      <c r="K180" s="38">
        <v>2</v>
      </c>
      <c r="L180" s="38">
        <v>1</v>
      </c>
      <c r="M180" s="38">
        <v>0</v>
      </c>
      <c r="N180" s="39">
        <f>K180+L180+M180</f>
        <v>3</v>
      </c>
      <c r="O180" s="39">
        <f>P180-N180</f>
        <v>6</v>
      </c>
      <c r="P180" s="39">
        <f>ROUND(PRODUCT(J180,25)/14,0)</f>
        <v>9</v>
      </c>
      <c r="Q180" s="38" t="s">
        <v>32</v>
      </c>
      <c r="R180" s="38"/>
      <c r="S180" s="40"/>
      <c r="T180" s="40" t="s">
        <v>88</v>
      </c>
    </row>
    <row r="181" spans="1:20" s="41" customFormat="1">
      <c r="A181" s="42" t="s">
        <v>74</v>
      </c>
      <c r="B181" s="71" t="s">
        <v>171</v>
      </c>
      <c r="C181" s="72"/>
      <c r="D181" s="72"/>
      <c r="E181" s="72"/>
      <c r="F181" s="72"/>
      <c r="G181" s="72"/>
      <c r="H181" s="72"/>
      <c r="I181" s="73"/>
      <c r="J181" s="38">
        <v>5</v>
      </c>
      <c r="K181" s="38">
        <v>1</v>
      </c>
      <c r="L181" s="38">
        <v>2</v>
      </c>
      <c r="M181" s="38">
        <v>0</v>
      </c>
      <c r="N181" s="39">
        <f>K181+L181+M181</f>
        <v>3</v>
      </c>
      <c r="O181" s="39">
        <f>P181-N181</f>
        <v>6</v>
      </c>
      <c r="P181" s="39">
        <f>ROUND(PRODUCT(J181,25)/14,0)</f>
        <v>9</v>
      </c>
      <c r="Q181" s="38" t="s">
        <v>32</v>
      </c>
      <c r="R181" s="38"/>
      <c r="S181" s="40"/>
      <c r="T181" s="40" t="s">
        <v>89</v>
      </c>
    </row>
    <row r="182" spans="1:20">
      <c r="A182" s="68" t="s">
        <v>81</v>
      </c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70"/>
    </row>
    <row r="183" spans="1:20" s="41" customFormat="1">
      <c r="A183" s="42" t="s">
        <v>91</v>
      </c>
      <c r="B183" s="63" t="s">
        <v>90</v>
      </c>
      <c r="C183" s="64"/>
      <c r="D183" s="64"/>
      <c r="E183" s="64"/>
      <c r="F183" s="64"/>
      <c r="G183" s="64"/>
      <c r="H183" s="64"/>
      <c r="I183" s="65"/>
      <c r="J183" s="38">
        <v>5</v>
      </c>
      <c r="K183" s="38">
        <v>0</v>
      </c>
      <c r="L183" s="38">
        <v>0</v>
      </c>
      <c r="M183" s="38">
        <v>3</v>
      </c>
      <c r="N183" s="39">
        <f>K183+L183+M183</f>
        <v>3</v>
      </c>
      <c r="O183" s="39">
        <f>P183-N183</f>
        <v>6</v>
      </c>
      <c r="P183" s="39">
        <f>ROUND(PRODUCT(J183,25)/14,0)</f>
        <v>9</v>
      </c>
      <c r="Q183" s="38"/>
      <c r="R183" s="38" t="s">
        <v>28</v>
      </c>
      <c r="S183" s="40"/>
      <c r="T183" s="40" t="s">
        <v>88</v>
      </c>
    </row>
    <row r="184" spans="1:20">
      <c r="A184" s="42" t="s">
        <v>92</v>
      </c>
      <c r="B184" s="71" t="s">
        <v>172</v>
      </c>
      <c r="C184" s="72"/>
      <c r="D184" s="72"/>
      <c r="E184" s="72"/>
      <c r="F184" s="72"/>
      <c r="G184" s="72"/>
      <c r="H184" s="72"/>
      <c r="I184" s="73"/>
      <c r="J184" s="38">
        <v>5</v>
      </c>
      <c r="K184" s="38">
        <v>1</v>
      </c>
      <c r="L184" s="38">
        <v>2</v>
      </c>
      <c r="M184" s="38">
        <v>0</v>
      </c>
      <c r="N184" s="39">
        <f>K184+L184+M184</f>
        <v>3</v>
      </c>
      <c r="O184" s="39">
        <f>P184-N184</f>
        <v>6</v>
      </c>
      <c r="P184" s="39">
        <f>ROUND(PRODUCT(J184,25)/14,0)</f>
        <v>9</v>
      </c>
      <c r="Q184" s="38" t="s">
        <v>32</v>
      </c>
      <c r="R184" s="38"/>
      <c r="S184" s="40"/>
      <c r="T184" s="40" t="s">
        <v>89</v>
      </c>
    </row>
    <row r="185" spans="1:20">
      <c r="A185" s="74" t="s">
        <v>82</v>
      </c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6"/>
    </row>
    <row r="186" spans="1:20" ht="18.75" customHeight="1">
      <c r="A186" s="42"/>
      <c r="B186" s="77" t="s">
        <v>75</v>
      </c>
      <c r="C186" s="78"/>
      <c r="D186" s="78"/>
      <c r="E186" s="78"/>
      <c r="F186" s="78"/>
      <c r="G186" s="78"/>
      <c r="H186" s="78"/>
      <c r="I186" s="79"/>
      <c r="J186" s="38">
        <v>5</v>
      </c>
      <c r="K186" s="38"/>
      <c r="L186" s="38"/>
      <c r="M186" s="38"/>
      <c r="N186" s="39"/>
      <c r="O186" s="39"/>
      <c r="P186" s="39"/>
      <c r="Q186" s="38"/>
      <c r="R186" s="38"/>
      <c r="S186" s="40"/>
      <c r="T186" s="43"/>
    </row>
    <row r="187" spans="1:20" ht="20.25" customHeight="1">
      <c r="A187" s="80" t="s">
        <v>77</v>
      </c>
      <c r="B187" s="81"/>
      <c r="C187" s="81"/>
      <c r="D187" s="81"/>
      <c r="E187" s="81"/>
      <c r="F187" s="81"/>
      <c r="G187" s="81"/>
      <c r="H187" s="81"/>
      <c r="I187" s="82"/>
      <c r="J187" s="44">
        <f>SUM(J177:J178,J180:J181,J183:J184,J186)</f>
        <v>35</v>
      </c>
      <c r="K187" s="44">
        <f t="shared" ref="K187:P187" si="53">SUM(K177:K178,K180:K181,K183:K184,K186)</f>
        <v>8</v>
      </c>
      <c r="L187" s="44">
        <f t="shared" si="53"/>
        <v>7</v>
      </c>
      <c r="M187" s="44">
        <f t="shared" si="53"/>
        <v>3</v>
      </c>
      <c r="N187" s="44">
        <f t="shared" si="53"/>
        <v>18</v>
      </c>
      <c r="O187" s="44">
        <f t="shared" si="53"/>
        <v>36</v>
      </c>
      <c r="P187" s="44">
        <f t="shared" si="53"/>
        <v>54</v>
      </c>
      <c r="Q187" s="46">
        <f>COUNTIF(Q177:Q178,"E")+COUNTIF(Q180:Q181,"E")+COUNTIF(Q183:Q184,"E")+COUNTIF(Q186,"E")</f>
        <v>5</v>
      </c>
      <c r="R187" s="46">
        <f>COUNTIF(R177:R178,"C")+COUNTIF(R180:R181,"C")+COUNTIF(R183:R184,"C")+COUNTIF(R186,"C")</f>
        <v>1</v>
      </c>
      <c r="S187" s="46">
        <f>COUNTIF(S177:S178,"VP")+COUNTIF(S180:S181,"VP")+COUNTIF(S183:S184,"VP")+COUNTIF(S186,"VP")</f>
        <v>0</v>
      </c>
      <c r="T187" s="45"/>
    </row>
    <row r="188" spans="1:20" ht="20.25" customHeight="1">
      <c r="A188" s="83" t="s">
        <v>50</v>
      </c>
      <c r="B188" s="84"/>
      <c r="C188" s="84"/>
      <c r="D188" s="84"/>
      <c r="E188" s="84"/>
      <c r="F188" s="84"/>
      <c r="G188" s="84"/>
      <c r="H188" s="84"/>
      <c r="I188" s="84"/>
      <c r="J188" s="85"/>
      <c r="K188" s="44">
        <f>SUM(K177:K178,K180:K181,K183:K184)*14</f>
        <v>112</v>
      </c>
      <c r="L188" s="44">
        <f t="shared" ref="L188:P188" si="54">SUM(L177:L178,L180:L181,L183:L184)*14</f>
        <v>98</v>
      </c>
      <c r="M188" s="44">
        <f t="shared" si="54"/>
        <v>42</v>
      </c>
      <c r="N188" s="44">
        <f t="shared" si="54"/>
        <v>252</v>
      </c>
      <c r="O188" s="44">
        <f t="shared" si="54"/>
        <v>504</v>
      </c>
      <c r="P188" s="44">
        <f t="shared" si="54"/>
        <v>756</v>
      </c>
      <c r="Q188" s="89"/>
      <c r="R188" s="90"/>
      <c r="S188" s="90"/>
      <c r="T188" s="91"/>
    </row>
    <row r="189" spans="1:20" ht="20.25" customHeight="1">
      <c r="A189" s="86"/>
      <c r="B189" s="87"/>
      <c r="C189" s="87"/>
      <c r="D189" s="87"/>
      <c r="E189" s="87"/>
      <c r="F189" s="87"/>
      <c r="G189" s="87"/>
      <c r="H189" s="87"/>
      <c r="I189" s="87"/>
      <c r="J189" s="88"/>
      <c r="K189" s="95">
        <f>SUM(K188:M188)</f>
        <v>252</v>
      </c>
      <c r="L189" s="96"/>
      <c r="M189" s="97"/>
      <c r="N189" s="95">
        <f>SUM(N188:O188)</f>
        <v>756</v>
      </c>
      <c r="O189" s="96"/>
      <c r="P189" s="97"/>
      <c r="Q189" s="92"/>
      <c r="R189" s="93"/>
      <c r="S189" s="93"/>
      <c r="T189" s="94"/>
    </row>
    <row r="190" spans="1:20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</row>
    <row r="192" spans="1:20">
      <c r="A192" s="66" t="s">
        <v>93</v>
      </c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</row>
    <row r="193" spans="1:20">
      <c r="A193" s="66" t="s">
        <v>94</v>
      </c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</row>
    <row r="194" spans="1:20">
      <c r="A194" s="66" t="s">
        <v>95</v>
      </c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</row>
  </sheetData>
  <sheetProtection formatCells="0" formatRows="0" insertRows="0"/>
  <mergeCells count="267">
    <mergeCell ref="B74:I74"/>
    <mergeCell ref="A171:T171"/>
    <mergeCell ref="A174:A175"/>
    <mergeCell ref="B174:I175"/>
    <mergeCell ref="J174:J175"/>
    <mergeCell ref="K174:M174"/>
    <mergeCell ref="N174:P174"/>
    <mergeCell ref="Q174:S174"/>
    <mergeCell ref="T174:T175"/>
    <mergeCell ref="T101:T102"/>
    <mergeCell ref="B108:I108"/>
    <mergeCell ref="B92:I92"/>
    <mergeCell ref="B93:I93"/>
    <mergeCell ref="B111:I111"/>
    <mergeCell ref="A110:T110"/>
    <mergeCell ref="A95:I95"/>
    <mergeCell ref="A96:J97"/>
    <mergeCell ref="B84:I84"/>
    <mergeCell ref="A101:A102"/>
    <mergeCell ref="B101:I102"/>
    <mergeCell ref="J101:J102"/>
    <mergeCell ref="B136:I136"/>
    <mergeCell ref="B124:I124"/>
    <mergeCell ref="B135:I135"/>
    <mergeCell ref="B94:I94"/>
    <mergeCell ref="Q80:S80"/>
    <mergeCell ref="K97:M97"/>
    <mergeCell ref="N97:P97"/>
    <mergeCell ref="Q96:T97"/>
    <mergeCell ref="B112:I112"/>
    <mergeCell ref="Q101:S101"/>
    <mergeCell ref="B105:I105"/>
    <mergeCell ref="B106:I106"/>
    <mergeCell ref="B107:I107"/>
    <mergeCell ref="B104:I104"/>
    <mergeCell ref="A103:T103"/>
    <mergeCell ref="B71:I71"/>
    <mergeCell ref="B73:I73"/>
    <mergeCell ref="B75:I75"/>
    <mergeCell ref="A58:A59"/>
    <mergeCell ref="B58:I59"/>
    <mergeCell ref="A79:T79"/>
    <mergeCell ref="A89:T89"/>
    <mergeCell ref="B88:I88"/>
    <mergeCell ref="B72:I72"/>
    <mergeCell ref="Q69:S69"/>
    <mergeCell ref="A69:A70"/>
    <mergeCell ref="B60:I60"/>
    <mergeCell ref="T80:T81"/>
    <mergeCell ref="B80:I81"/>
    <mergeCell ref="J80:J81"/>
    <mergeCell ref="K80:M80"/>
    <mergeCell ref="N80:P80"/>
    <mergeCell ref="A80:A81"/>
    <mergeCell ref="B76:I76"/>
    <mergeCell ref="T69:T70"/>
    <mergeCell ref="B66:I66"/>
    <mergeCell ref="B69:I70"/>
    <mergeCell ref="B62:I62"/>
    <mergeCell ref="B63:I63"/>
    <mergeCell ref="R6:T6"/>
    <mergeCell ref="M8:T11"/>
    <mergeCell ref="A15:K15"/>
    <mergeCell ref="J35:J36"/>
    <mergeCell ref="A34:T34"/>
    <mergeCell ref="M25:T31"/>
    <mergeCell ref="A20:K23"/>
    <mergeCell ref="M21:T23"/>
    <mergeCell ref="I26:K26"/>
    <mergeCell ref="B26:C26"/>
    <mergeCell ref="H26:H27"/>
    <mergeCell ref="A25:G25"/>
    <mergeCell ref="G26:G27"/>
    <mergeCell ref="A13:K13"/>
    <mergeCell ref="A14:K14"/>
    <mergeCell ref="A16:K16"/>
    <mergeCell ref="B35:I36"/>
    <mergeCell ref="M18:T18"/>
    <mergeCell ref="M13:T13"/>
    <mergeCell ref="A11:K11"/>
    <mergeCell ref="A12:K12"/>
    <mergeCell ref="M16:T17"/>
    <mergeCell ref="T35:T36"/>
    <mergeCell ref="M14:T15"/>
    <mergeCell ref="O4:Q4"/>
    <mergeCell ref="M4:N4"/>
    <mergeCell ref="A10:K10"/>
    <mergeCell ref="M6:N6"/>
    <mergeCell ref="A7:K7"/>
    <mergeCell ref="A8:K8"/>
    <mergeCell ref="A9:K9"/>
    <mergeCell ref="B50:I50"/>
    <mergeCell ref="B51:I51"/>
    <mergeCell ref="B39:I39"/>
    <mergeCell ref="B37:I37"/>
    <mergeCell ref="B38:I38"/>
    <mergeCell ref="B43:I43"/>
    <mergeCell ref="B48:I48"/>
    <mergeCell ref="B49:I49"/>
    <mergeCell ref="B40:I40"/>
    <mergeCell ref="B41:I41"/>
    <mergeCell ref="B46:I47"/>
    <mergeCell ref="B42:I42"/>
    <mergeCell ref="N35:P35"/>
    <mergeCell ref="K35:M35"/>
    <mergeCell ref="Q35:S35"/>
    <mergeCell ref="A45:T45"/>
    <mergeCell ref="J46:J47"/>
    <mergeCell ref="B53:I53"/>
    <mergeCell ref="B52:I52"/>
    <mergeCell ref="B61:I61"/>
    <mergeCell ref="A57:T57"/>
    <mergeCell ref="J58:J59"/>
    <mergeCell ref="K58:M58"/>
    <mergeCell ref="N58:P58"/>
    <mergeCell ref="Q58:S58"/>
    <mergeCell ref="T58:T59"/>
    <mergeCell ref="A46:A47"/>
    <mergeCell ref="A35:A36"/>
    <mergeCell ref="A1:K1"/>
    <mergeCell ref="A3:K3"/>
    <mergeCell ref="K46:M46"/>
    <mergeCell ref="M19:T19"/>
    <mergeCell ref="M1:T1"/>
    <mergeCell ref="A4:K5"/>
    <mergeCell ref="A32:T32"/>
    <mergeCell ref="A19:K19"/>
    <mergeCell ref="A17:K17"/>
    <mergeCell ref="M3:N3"/>
    <mergeCell ref="M5:N5"/>
    <mergeCell ref="D26:F26"/>
    <mergeCell ref="A18:K18"/>
    <mergeCell ref="N46:P46"/>
    <mergeCell ref="Q46:S46"/>
    <mergeCell ref="R3:T3"/>
    <mergeCell ref="R4:T4"/>
    <mergeCell ref="R5:T5"/>
    <mergeCell ref="A2:K2"/>
    <mergeCell ref="A6:K6"/>
    <mergeCell ref="O5:Q5"/>
    <mergeCell ref="O6:Q6"/>
    <mergeCell ref="O3:Q3"/>
    <mergeCell ref="T46:T47"/>
    <mergeCell ref="B64:I64"/>
    <mergeCell ref="B65:I65"/>
    <mergeCell ref="A68:T68"/>
    <mergeCell ref="J69:J70"/>
    <mergeCell ref="K69:M69"/>
    <mergeCell ref="N69:P69"/>
    <mergeCell ref="A117:T117"/>
    <mergeCell ref="A82:T82"/>
    <mergeCell ref="B90:I90"/>
    <mergeCell ref="B86:I86"/>
    <mergeCell ref="B85:I85"/>
    <mergeCell ref="B87:I87"/>
    <mergeCell ref="B83:I83"/>
    <mergeCell ref="B91:I91"/>
    <mergeCell ref="A100:T100"/>
    <mergeCell ref="A99:T99"/>
    <mergeCell ref="K101:M101"/>
    <mergeCell ref="N101:P101"/>
    <mergeCell ref="B109:I109"/>
    <mergeCell ref="A114:J115"/>
    <mergeCell ref="Q114:T115"/>
    <mergeCell ref="N115:P115"/>
    <mergeCell ref="K115:M115"/>
    <mergeCell ref="A113:I113"/>
    <mergeCell ref="A120:T120"/>
    <mergeCell ref="B121:I121"/>
    <mergeCell ref="B122:I122"/>
    <mergeCell ref="B131:I131"/>
    <mergeCell ref="A132:T132"/>
    <mergeCell ref="A118:A119"/>
    <mergeCell ref="J118:J119"/>
    <mergeCell ref="K118:M118"/>
    <mergeCell ref="N118:P118"/>
    <mergeCell ref="B118:I119"/>
    <mergeCell ref="Q118:S118"/>
    <mergeCell ref="T118:T119"/>
    <mergeCell ref="B125:I125"/>
    <mergeCell ref="B126:I126"/>
    <mergeCell ref="B133:I133"/>
    <mergeCell ref="B134:I134"/>
    <mergeCell ref="B123:I123"/>
    <mergeCell ref="B127:I127"/>
    <mergeCell ref="B128:I128"/>
    <mergeCell ref="B129:I129"/>
    <mergeCell ref="B130:I130"/>
    <mergeCell ref="B137:I137"/>
    <mergeCell ref="A138:I138"/>
    <mergeCell ref="K140:M140"/>
    <mergeCell ref="N140:P140"/>
    <mergeCell ref="T146:T147"/>
    <mergeCell ref="A145:T145"/>
    <mergeCell ref="A139:J140"/>
    <mergeCell ref="Q139:T140"/>
    <mergeCell ref="N146:P146"/>
    <mergeCell ref="A148:T148"/>
    <mergeCell ref="B149:I149"/>
    <mergeCell ref="B150:I150"/>
    <mergeCell ref="B151:I151"/>
    <mergeCell ref="Q146:S146"/>
    <mergeCell ref="A146:A147"/>
    <mergeCell ref="B146:I147"/>
    <mergeCell ref="J146:J147"/>
    <mergeCell ref="K146:M146"/>
    <mergeCell ref="Q157:T158"/>
    <mergeCell ref="K158:M158"/>
    <mergeCell ref="N158:P158"/>
    <mergeCell ref="B152:I152"/>
    <mergeCell ref="A153:T153"/>
    <mergeCell ref="B155:I155"/>
    <mergeCell ref="A156:I156"/>
    <mergeCell ref="A157:J158"/>
    <mergeCell ref="B154:I154"/>
    <mergeCell ref="A162:B162"/>
    <mergeCell ref="A163:A164"/>
    <mergeCell ref="B163:G164"/>
    <mergeCell ref="H163:I164"/>
    <mergeCell ref="J163:O163"/>
    <mergeCell ref="P163:Q164"/>
    <mergeCell ref="R163:T163"/>
    <mergeCell ref="J164:K164"/>
    <mergeCell ref="L164:M164"/>
    <mergeCell ref="N164:O164"/>
    <mergeCell ref="S164:T164"/>
    <mergeCell ref="A167:G167"/>
    <mergeCell ref="H167:I167"/>
    <mergeCell ref="J167:K167"/>
    <mergeCell ref="L167:M167"/>
    <mergeCell ref="N167:O167"/>
    <mergeCell ref="P167:Q167"/>
    <mergeCell ref="S167:T167"/>
    <mergeCell ref="B165:G165"/>
    <mergeCell ref="H165:I165"/>
    <mergeCell ref="J165:K165"/>
    <mergeCell ref="L165:M165"/>
    <mergeCell ref="N165:O165"/>
    <mergeCell ref="P165:Q165"/>
    <mergeCell ref="S165:T165"/>
    <mergeCell ref="B166:G166"/>
    <mergeCell ref="H166:I166"/>
    <mergeCell ref="J166:K166"/>
    <mergeCell ref="L166:M166"/>
    <mergeCell ref="N166:O166"/>
    <mergeCell ref="P166:Q166"/>
    <mergeCell ref="S166:T166"/>
    <mergeCell ref="B177:I177"/>
    <mergeCell ref="B183:I183"/>
    <mergeCell ref="A192:T192"/>
    <mergeCell ref="A193:T193"/>
    <mergeCell ref="A194:T194"/>
    <mergeCell ref="A179:T179"/>
    <mergeCell ref="B180:I180"/>
    <mergeCell ref="A182:T182"/>
    <mergeCell ref="B184:I184"/>
    <mergeCell ref="A185:T185"/>
    <mergeCell ref="B186:I186"/>
    <mergeCell ref="A187:I187"/>
    <mergeCell ref="A188:J189"/>
    <mergeCell ref="Q188:T189"/>
    <mergeCell ref="K189:M189"/>
    <mergeCell ref="N189:P189"/>
    <mergeCell ref="B181:I181"/>
    <mergeCell ref="A173:T173"/>
    <mergeCell ref="B178:I178"/>
    <mergeCell ref="A176:T176"/>
  </mergeCells>
  <phoneticPr fontId="6" type="noConversion"/>
  <dataValidations disablePrompts="1" count="6">
    <dataValidation type="list" allowBlank="1" showInputMessage="1" showErrorMessage="1" sqref="R180:R181 R48:R52 R37:R42 R60:R65 R71:R75 R83:R88 R90:R94 R186 R177:R178 R183:R184">
      <formula1>$R$36</formula1>
    </dataValidation>
    <dataValidation type="list" allowBlank="1" showInputMessage="1" showErrorMessage="1" sqref="Q180:Q181 Q48:Q52 Q37:Q42 Q60:Q65 Q71:Q75 Q83:Q88 Q90:Q94 Q186 Q177:Q178 Q183:Q184">
      <formula1>$Q$36</formula1>
    </dataValidation>
    <dataValidation type="list" allowBlank="1" showInputMessage="1" showErrorMessage="1" sqref="S180:S181 S48:S52 S37:S42 S60:S65 S71:S75 S83:S88 S90:S94 S186 S177:S178 S183:S184">
      <formula1>$S$36</formula1>
    </dataValidation>
    <dataValidation type="list" allowBlank="1" showInputMessage="1" showErrorMessage="1" sqref="T104:T108 T48:T52 T37:T42 T60:T65 T71:T75 T83:T88 T90:T94 T154 T149:T151 T121:T130 T133:T136 T111">
      <formula1>$O$33:$S$33</formula1>
    </dataValidation>
    <dataValidation type="list" allowBlank="1" showInputMessage="1" showErrorMessage="1" sqref="T109 T152 T131">
      <formula1>$P$33:$S$33</formula1>
    </dataValidation>
    <dataValidation type="list" allowBlank="1" showInputMessage="1" showErrorMessage="1" sqref="B111:I111 B154:I154">
      <formula1>$B$35:$B$98</formula1>
    </dataValidation>
  </dataValidations>
  <pageMargins left="0.7" right="0.64583333333333337" top="0.75" bottom="0.75" header="0.3" footer="0.3"/>
  <pageSetup paperSize="9" orientation="landscape" blackAndWhite="1" r:id="rId1"/>
  <headerFooter>
    <oddFooter>&amp;LRECTOR,Acad.Prof.univ.dr. Ioan Aurel POP&amp;CPag. &amp;P/&amp;N&amp;RDECAN,Conf.univ.dr. Răzvan Valentin MUSTAŢĂ</oddFooter>
  </headerFooter>
  <rowBreaks count="4" manualBreakCount="4">
    <brk id="56" max="16383" man="1"/>
    <brk id="116" max="16383" man="1"/>
    <brk id="144" max="16383" man="1"/>
    <brk id="170" max="16383" man="1"/>
  </rowBreaks>
  <ignoredErrors>
    <ignoredError sqref="Q43" formula="1"/>
    <ignoredError sqref="K97" formulaRange="1"/>
    <ignoredError sqref="T13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559B78D361EF4D8F32DB81F710DAAA" ma:contentTypeVersion="0" ma:contentTypeDescription="Create a new document." ma:contentTypeScope="" ma:versionID="1ff52bee66dc2b42120baa8a47bca72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47E3DA-5698-49A4-92EA-B6C4521E51D0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AD0EA87-1678-40B3-9948-48AD781C75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54E7A1D-D733-4215-B5BA-4564572BE7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admin</cp:lastModifiedBy>
  <cp:lastPrinted>2016-04-22T08:40:47Z</cp:lastPrinted>
  <dcterms:created xsi:type="dcterms:W3CDTF">2013-06-27T08:19:59Z</dcterms:created>
  <dcterms:modified xsi:type="dcterms:W3CDTF">2016-04-22T08:40:55Z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0x01010078559B78D361EF4D8F32DB81F710DAAA</vt:lpwstr>
  </property>
</Properties>
</file>